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0" yWindow="1110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<sst xmlns="http://schemas.openxmlformats.org/spreadsheetml/2006/main" count="166" uniqueCount="113">
  <si>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</si>
  <si>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</si>
  <si>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</si>
  <si>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</si>
  <si>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</si>
  <si>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</si>
  <si>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</si>
  <si>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</si>
  <si>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</si>
  <si>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</si>
  <si>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</si>
  <si>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</si>
  <si>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</si>
  <si>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</si>
  <si>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</si>
  <si>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</si>
  <si>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</si>
  <si>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</si>
  <si>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</si>
  <si>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</si>
  <si>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</si>
  <si>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</si>
  <si>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</si>
  <si>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</si>
  <si>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</si>
  <si>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</si>
  <si>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</si>
  <si>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</si>
  <si>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</si>
  <si>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</si>
  <si>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</si>
  <si>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</si>
  <si>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</si>
  <si>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</si>
  <si>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</si>
  <si>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</si>
  <si>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</si>
  <si>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</si>
  <si>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</si>
  <si>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</si>
  <si>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</si>
  <si>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</si>
  <si>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</si>
  <si>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</si>
  <si>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</si>
  <si>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</si>
  <si>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</si>
  <si>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</si>
  <si>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</si>
  <si>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</si>
  <si>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</si>
  <si>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</si>
  <si>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</si>
  <si>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</si>
  <si>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</si>
  <si>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</si>
  <si>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</si>
  <si>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</si>
  <si>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</si>
  <si>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</si>
  <si>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</si>
  <si>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</si>
  <si>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</si>
  <si>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</si>
  <si>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</si>
  <si>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</si>
  <si>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</si>
  <si>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</si>
  <si>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</si>
  <si>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</si>
  <si>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</si>
  <si>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</si>
  <si>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</si>
  <si>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</si>
  <si>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</si>
  <si>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</si>
  <si>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</si>
  <si>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</si>
  <si>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</si>
  <si>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</si>
  <si>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</si>
  <si>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</si>
  <si>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</si>
  <si>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</si>
  <si>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</si>
  <si>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</si>
  <si>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</si>
  <si>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</si>
  <si>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</si>
  <si>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</si>
  <si>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</si>
  <si>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</si>
  <si>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</si>
  <si>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</si>
  <si>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</si>
  <si>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</si>
  <si>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</si>
  <si>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</si>
  <si>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</si>
  <si>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</si>
  <si>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</si>
  <si>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</si>
  <si>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</si>
  <si>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</si>
  <si>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</si>
  <si>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</si>
  <si>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</si>
  <si>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</si>
  <si>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</si>
  <si>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</si>
  <si>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</si>
  <si>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</si>
  <si>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06.09.2018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</si>
</sst>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140331.39999999994</c:v>
                </c:pt>
                <c:pt idx="1">
                  <c:v>132683.11</c:v>
                </c:pt>
                <c:pt idx="2">
                  <c:v>1460.7000000000003</c:v>
                </c:pt>
                <c:pt idx="3">
                  <c:v>6187.589999999949</c:v>
                </c:pt>
              </c:numCache>
            </c:numRef>
          </c:val>
          <c:shape val="box"/>
        </c:ser>
        <c:shape val="box"/>
        <c:axId val="15371216"/>
        <c:axId val="4123217"/>
      </c:bar3D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826057.9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25030.79999999999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516297.2</c:v>
                </c:pt>
                <c:pt idx="1">
                  <c:v>174572.09999999998</c:v>
                </c:pt>
                <c:pt idx="2">
                  <c:v>423164.2000000002</c:v>
                </c:pt>
                <c:pt idx="3">
                  <c:v>21.3</c:v>
                </c:pt>
                <c:pt idx="4">
                  <c:v>20268.3</c:v>
                </c:pt>
                <c:pt idx="5">
                  <c:v>52587.79999999999</c:v>
                </c:pt>
                <c:pt idx="6">
                  <c:v>7873.9</c:v>
                </c:pt>
                <c:pt idx="7">
                  <c:v>12381.699999999832</c:v>
                </c:pt>
              </c:numCache>
            </c:numRef>
          </c:val>
          <c:shape val="box"/>
        </c:ser>
        <c:shape val="box"/>
        <c:axId val="37108954"/>
        <c:axId val="65545131"/>
      </c:bar3D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08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259214.69999999998</c:v>
                </c:pt>
                <c:pt idx="1">
                  <c:v>164074.80000000005</c:v>
                </c:pt>
                <c:pt idx="2">
                  <c:v>259214.69999999998</c:v>
                </c:pt>
              </c:numCache>
            </c:numRef>
          </c:val>
          <c:shape val="box"/>
        </c:ser>
        <c:shape val="box"/>
        <c:axId val="53035268"/>
        <c:axId val="7555365"/>
      </c:bar3D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5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14841.7</c:v>
                </c:pt>
                <c:pt idx="1">
                  <c:v>8406.2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4872.400000000001</c:v>
                </c:pt>
              </c:numCache>
            </c:numRef>
          </c:val>
          <c:shape val="box"/>
        </c:ser>
        <c:shape val="box"/>
        <c:axId val="889422"/>
        <c:axId val="8004799"/>
      </c:bar3D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15.28435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13513.21565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20254.2</c:v>
                </c:pt>
                <c:pt idx="1">
                  <c:v>12003.6</c:v>
                </c:pt>
                <c:pt idx="3">
                  <c:v>518.8</c:v>
                </c:pt>
                <c:pt idx="4">
                  <c:v>524.1000000000001</c:v>
                </c:pt>
                <c:pt idx="5">
                  <c:v>880</c:v>
                </c:pt>
                <c:pt idx="6">
                  <c:v>6327.7</c:v>
                </c:pt>
              </c:numCache>
            </c:numRef>
          </c:val>
          <c:shape val="box"/>
        </c:ser>
        <c:shape val="box"/>
        <c:axId val="4934328"/>
        <c:axId val="44408953"/>
      </c:bar3DChart>
      <c:cat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08953"/>
        <c:crosses val="autoZero"/>
        <c:auto val="1"/>
        <c:lblOffset val="100"/>
        <c:tickLblSkip val="2"/>
        <c:noMultiLvlLbl val="0"/>
      </c:catAx>
      <c:valAx>
        <c:axId val="44408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5630.5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228.1999999999999</c:v>
                </c:pt>
                <c:pt idx="4">
                  <c:v>2732.9</c:v>
                </c:pt>
                <c:pt idx="5">
                  <c:v>298.9999999999999</c:v>
                </c:pt>
              </c:numCache>
            </c:numRef>
          </c:val>
          <c:shape val="box"/>
        </c:ser>
        <c:shape val="box"/>
        <c:axId val="64136258"/>
        <c:axId val="40355411"/>
      </c:bar3D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6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26648.699999999997</c:v>
                </c:pt>
              </c:numCache>
            </c:numRef>
          </c:val>
          <c:shape val="box"/>
        </c:ser>
        <c:shape val="box"/>
        <c:axId val="27654380"/>
        <c:axId val="47562829"/>
      </c:bar3D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826057.9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516297.2</c:v>
                </c:pt>
                <c:pt idx="1">
                  <c:v>259214.69999999998</c:v>
                </c:pt>
                <c:pt idx="2">
                  <c:v>14841.7</c:v>
                </c:pt>
                <c:pt idx="3">
                  <c:v>20254.2</c:v>
                </c:pt>
                <c:pt idx="4">
                  <c:v>5630.5</c:v>
                </c:pt>
                <c:pt idx="5">
                  <c:v>140331.39999999994</c:v>
                </c:pt>
                <c:pt idx="6">
                  <c:v>26648.699999999997</c:v>
                </c:pt>
              </c:numCache>
            </c:numRef>
          </c:val>
          <c:shape val="box"/>
        </c:ser>
        <c:shape val="box"/>
        <c:axId val="25412278"/>
        <c:axId val="27383911"/>
      </c:bar3D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114.48435</c:v>
                </c:pt>
                <c:pt idx="5">
                  <c:v>1086009.8156499993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587655.01</c:v>
                </c:pt>
                <c:pt idx="1">
                  <c:v>65210.49999999998</c:v>
                </c:pt>
                <c:pt idx="2">
                  <c:v>21279.299999999996</c:v>
                </c:pt>
                <c:pt idx="3">
                  <c:v>19232.500000000004</c:v>
                </c:pt>
                <c:pt idx="4">
                  <c:v>22</c:v>
                </c:pt>
                <c:pt idx="5">
                  <c:v>582869.9899999998</c:v>
                </c:pt>
              </c:numCache>
            </c:numRef>
          </c:val>
          <c:shape val="box"/>
        </c:ser>
        <c:shape val="box"/>
        <c:axId val="45128608"/>
        <c:axId val="3504289"/>
      </c:bar3D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8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2" sqref="D92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5" t="s">
        <v>112</v>
      </c>
      <c r="B1" s="175"/>
      <c r="C1" s="175"/>
      <c r="D1" s="175"/>
      <c r="E1" s="175"/>
      <c r="F1" s="175"/>
      <c r="G1" s="175"/>
      <c r="H1" s="175"/>
      <c r="I1" s="17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9" t="s">
        <v>40</v>
      </c>
      <c r="B3" s="182" t="s">
        <v>110</v>
      </c>
      <c r="C3" s="176" t="s">
        <v>106</v>
      </c>
      <c r="D3" s="176" t="s">
        <v>22</v>
      </c>
      <c r="E3" s="176" t="s">
        <v>21</v>
      </c>
      <c r="F3" s="176" t="s">
        <v>109</v>
      </c>
      <c r="G3" s="176" t="s">
        <v>107</v>
      </c>
      <c r="H3" s="176" t="s">
        <v>111</v>
      </c>
      <c r="I3" s="176" t="s">
        <v>108</v>
      </c>
    </row>
    <row r="4" spans="1:9" ht="24.75" customHeight="1">
      <c r="A4" s="180"/>
      <c r="B4" s="183"/>
      <c r="C4" s="177"/>
      <c r="D4" s="177"/>
      <c r="E4" s="177"/>
      <c r="F4" s="177"/>
      <c r="G4" s="177"/>
      <c r="H4" s="177"/>
      <c r="I4" s="177"/>
    </row>
    <row r="5" spans="1:10" ht="39" customHeight="1" thickBot="1">
      <c r="A5" s="181"/>
      <c r="B5" s="184"/>
      <c r="C5" s="178"/>
      <c r="D5" s="178"/>
      <c r="E5" s="178"/>
      <c r="F5" s="178"/>
      <c r="G5" s="178"/>
      <c r="H5" s="178"/>
      <c r="I5" s="178"/>
      <c r="J5" s="94"/>
    </row>
    <row r="6" spans="1:11" ht="18.75" thickBot="1">
      <c r="A6" s="20" t="s">
        <v>26</v>
      </c>
      <c r="B6" s="39">
        <v>609103</v>
      </c>
      <c r="C6" s="40">
        <f>826775+13431.5+510-13431.5+16-2334+20.8+1070.1</f>
        <v>826057.9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</f>
        <v>516297.2</v>
      </c>
      <c r="E6" s="3">
        <f>D6/D154*100</f>
        <v>40.45362526545143</v>
      </c>
      <c r="F6" s="3">
        <f>D6/B6*100</f>
        <v>84.76352932098511</v>
      </c>
      <c r="G6" s="3">
        <f aca="true" t="shared" si="0" ref="G6:G43">D6/C6*100</f>
        <v>62.50133313899667</v>
      </c>
      <c r="H6" s="41">
        <f>B6-D6</f>
        <v>92805.79999999999</v>
      </c>
      <c r="I6" s="41">
        <f aca="true" t="shared" si="1" ref="I6:I43">C6-D6</f>
        <v>309760.7</v>
      </c>
      <c r="J6" s="168"/>
      <c r="K6" s="154"/>
    </row>
    <row r="7" spans="1:12" s="95" customFormat="1" ht="18.75">
      <c r="A7" s="141" t="s">
        <v>81</v>
      </c>
      <c r="B7" s="142">
        <v>200980.3</v>
      </c>
      <c r="C7" s="143">
        <v>262517.6</v>
      </c>
      <c r="D7" s="144">
        <f>8282.7+10875.2+9132.6+9963.6+4.3+9215.1+9968.6+9459.9+11450.4+9572.3+23759.4-0.1+3644+36528.9+8511.9+179.9+764+816.4+0.1+3426.1+9016.3+0.5</f>
        <v>174572.09999999998</v>
      </c>
      <c r="E7" s="145">
        <f>D7/D6*100</f>
        <v>33.81232747340097</v>
      </c>
      <c r="F7" s="145">
        <f>D7/B7*100</f>
        <v>86.86030421887119</v>
      </c>
      <c r="G7" s="145">
        <f>D7/C7*100</f>
        <v>66.49919852992713</v>
      </c>
      <c r="H7" s="144">
        <f>B7-D7</f>
        <v>26408.20000000001</v>
      </c>
      <c r="I7" s="144">
        <f t="shared" si="1"/>
        <v>87945.5</v>
      </c>
      <c r="J7" s="170"/>
      <c r="K7" s="154"/>
      <c r="L7" s="140"/>
    </row>
    <row r="8" spans="1:12" s="94" customFormat="1" ht="18">
      <c r="A8" s="103" t="s">
        <v>3</v>
      </c>
      <c r="B8" s="127">
        <v>490814.651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</f>
        <v>423164.2000000002</v>
      </c>
      <c r="E8" s="107">
        <f>D8/D6*100</f>
        <v>81.96135869030476</v>
      </c>
      <c r="F8" s="107">
        <f>D8/B8*100</f>
        <v>86.21670097618993</v>
      </c>
      <c r="G8" s="107">
        <f t="shared" si="0"/>
        <v>64.54241323023979</v>
      </c>
      <c r="H8" s="105">
        <f>B8-D8</f>
        <v>67650.45099999983</v>
      </c>
      <c r="I8" s="105">
        <f t="shared" si="1"/>
        <v>232473.19999999984</v>
      </c>
      <c r="J8" s="168"/>
      <c r="K8" s="154"/>
      <c r="L8" s="140"/>
    </row>
    <row r="9" spans="1:12" s="94" customFormat="1" ht="18">
      <c r="A9" s="103" t="s">
        <v>2</v>
      </c>
      <c r="B9" s="127">
        <v>51.6</v>
      </c>
      <c r="C9" s="128">
        <v>97.7</v>
      </c>
      <c r="D9" s="105">
        <f>3.4+5.4+0.8+4.1+3.6+0.3+0.3+3.4</f>
        <v>21.3</v>
      </c>
      <c r="E9" s="129">
        <f>D9/D6*100</f>
        <v>0.0041255307989274395</v>
      </c>
      <c r="F9" s="107">
        <f>D9/B9*100</f>
        <v>41.27906976744186</v>
      </c>
      <c r="G9" s="107">
        <f t="shared" si="0"/>
        <v>21.8014329580348</v>
      </c>
      <c r="H9" s="105">
        <f aca="true" t="shared" si="2" ref="H9:H43">B9-D9</f>
        <v>30.3</v>
      </c>
      <c r="I9" s="105">
        <f t="shared" si="1"/>
        <v>76.4</v>
      </c>
      <c r="J9" s="168"/>
      <c r="K9" s="154">
        <f>H6-H7</f>
        <v>66397.59999999998</v>
      </c>
      <c r="L9" s="140"/>
    </row>
    <row r="10" spans="1:12" s="94" customFormat="1" ht="18">
      <c r="A10" s="103" t="s">
        <v>1</v>
      </c>
      <c r="B10" s="127">
        <v>31145.849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</f>
        <v>20268.3</v>
      </c>
      <c r="E10" s="107">
        <f>D10/D6*100</f>
        <v>3.925704032483616</v>
      </c>
      <c r="F10" s="107">
        <f aca="true" t="shared" si="3" ref="F10:F41">D10/B10*100</f>
        <v>65.07544552726753</v>
      </c>
      <c r="G10" s="107">
        <f t="shared" si="0"/>
        <v>45.66824990536618</v>
      </c>
      <c r="H10" s="105">
        <f t="shared" si="2"/>
        <v>10877.548999999999</v>
      </c>
      <c r="I10" s="105">
        <f t="shared" si="1"/>
        <v>24113.300000000007</v>
      </c>
      <c r="J10" s="168"/>
      <c r="K10" s="154"/>
      <c r="L10" s="140"/>
    </row>
    <row r="11" spans="1:12" s="94" customFormat="1" ht="18">
      <c r="A11" s="103" t="s">
        <v>0</v>
      </c>
      <c r="B11" s="127">
        <v>55264.7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</f>
        <v>52587.79999999999</v>
      </c>
      <c r="E11" s="107">
        <f>D11/D6*100</f>
        <v>10.185567537457105</v>
      </c>
      <c r="F11" s="107">
        <f t="shared" si="3"/>
        <v>95.1562208787888</v>
      </c>
      <c r="G11" s="107">
        <f t="shared" si="0"/>
        <v>59.64201949816494</v>
      </c>
      <c r="H11" s="105">
        <f t="shared" si="2"/>
        <v>2676.9000000000087</v>
      </c>
      <c r="I11" s="105">
        <f t="shared" si="1"/>
        <v>35584.600000000006</v>
      </c>
      <c r="J11" s="168"/>
      <c r="K11" s="154"/>
      <c r="L11" s="140"/>
    </row>
    <row r="12" spans="1:12" s="94" customFormat="1" ht="18">
      <c r="A12" s="103" t="s">
        <v>14</v>
      </c>
      <c r="B12" s="127">
        <v>9366.9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7">
        <f>D12/D6*100</f>
        <v>1.5250712186701767</v>
      </c>
      <c r="F12" s="107">
        <f t="shared" si="3"/>
        <v>84.06089528018875</v>
      </c>
      <c r="G12" s="107">
        <f t="shared" si="0"/>
        <v>61.814256555189196</v>
      </c>
      <c r="H12" s="105">
        <f>B12-D12</f>
        <v>1493</v>
      </c>
      <c r="I12" s="105">
        <f t="shared" si="1"/>
        <v>4864.1</v>
      </c>
      <c r="J12" s="168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22459.29999999998</v>
      </c>
      <c r="C13" s="128">
        <f>C6-C8-C9-C10-C11-C12</f>
        <v>25030.79999999999</v>
      </c>
      <c r="D13" s="128">
        <f>D6-D8-D9-D10-D11-D12</f>
        <v>12381.699999999832</v>
      </c>
      <c r="E13" s="107">
        <f>D13/D6*100</f>
        <v>2.3981729902854076</v>
      </c>
      <c r="F13" s="107">
        <f t="shared" si="3"/>
        <v>55.12950091944025</v>
      </c>
      <c r="G13" s="107">
        <f t="shared" si="0"/>
        <v>49.4658580628659</v>
      </c>
      <c r="H13" s="105">
        <f t="shared" si="2"/>
        <v>10077.60000000015</v>
      </c>
      <c r="I13" s="105">
        <f t="shared" si="1"/>
        <v>12649.100000000157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.75" thickBot="1">
      <c r="A18" s="20" t="s">
        <v>19</v>
      </c>
      <c r="B18" s="39">
        <v>299946.0055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</f>
        <v>259214.69999999998</v>
      </c>
      <c r="E18" s="3">
        <f>D18/D154*100</f>
        <v>20.31034515991257</v>
      </c>
      <c r="F18" s="3">
        <f>D18/B18*100</f>
        <v>86.42045409736252</v>
      </c>
      <c r="G18" s="3">
        <f t="shared" si="0"/>
        <v>60.97915393399099</v>
      </c>
      <c r="H18" s="41">
        <f>B18-D18</f>
        <v>40731.305500000046</v>
      </c>
      <c r="I18" s="41">
        <f t="shared" si="1"/>
        <v>165872.69999999998</v>
      </c>
      <c r="J18" s="168"/>
      <c r="K18" s="154"/>
    </row>
    <row r="19" spans="1:13" s="95" customFormat="1" ht="18.75">
      <c r="A19" s="141" t="s">
        <v>82</v>
      </c>
      <c r="B19" s="142">
        <v>180037.504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</f>
        <v>164074.80000000005</v>
      </c>
      <c r="E19" s="145">
        <f>D19/D18*100</f>
        <v>63.29687320973697</v>
      </c>
      <c r="F19" s="145">
        <f t="shared" si="3"/>
        <v>91.13367845846166</v>
      </c>
      <c r="G19" s="145">
        <f t="shared" si="0"/>
        <v>72.24085392029569</v>
      </c>
      <c r="H19" s="144">
        <f t="shared" si="2"/>
        <v>15962.70399999994</v>
      </c>
      <c r="I19" s="144">
        <f t="shared" si="1"/>
        <v>63047.09999999995</v>
      </c>
      <c r="J19" s="170"/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299946.0055</v>
      </c>
      <c r="C25" s="128">
        <f>C18</f>
        <v>425087.39999999997</v>
      </c>
      <c r="D25" s="128">
        <f>D18</f>
        <v>259214.69999999998</v>
      </c>
      <c r="E25" s="107">
        <f>D25/D18*100</f>
        <v>100</v>
      </c>
      <c r="F25" s="107">
        <f t="shared" si="3"/>
        <v>86.42045409736252</v>
      </c>
      <c r="G25" s="107">
        <f t="shared" si="0"/>
        <v>60.97915393399099</v>
      </c>
      <c r="H25" s="105">
        <f t="shared" si="2"/>
        <v>40731.305500000046</v>
      </c>
      <c r="I25" s="105">
        <f t="shared" si="1"/>
        <v>165872.69999999998</v>
      </c>
      <c r="J25" s="168"/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.75" thickBot="1">
      <c r="A33" s="20" t="s">
        <v>17</v>
      </c>
      <c r="B33" s="39">
        <v>17992.2288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</f>
        <v>14841.7</v>
      </c>
      <c r="E33" s="3">
        <f>D33/D154*100</f>
        <v>1.16289720359175</v>
      </c>
      <c r="F33" s="3">
        <f>D33/B33*100</f>
        <v>82.48950235670635</v>
      </c>
      <c r="G33" s="3">
        <f t="shared" si="0"/>
        <v>59.874777613271</v>
      </c>
      <c r="H33" s="41">
        <f t="shared" si="2"/>
        <v>3150.5288</v>
      </c>
      <c r="I33" s="41">
        <f t="shared" si="1"/>
        <v>9946.199999999997</v>
      </c>
      <c r="J33" s="171"/>
      <c r="K33" s="154"/>
    </row>
    <row r="34" spans="1:11" s="94" customFormat="1" ht="18">
      <c r="A34" s="103" t="s">
        <v>3</v>
      </c>
      <c r="B34" s="127">
        <v>9786.6978</v>
      </c>
      <c r="C34" s="128">
        <v>12906.6</v>
      </c>
      <c r="D34" s="105">
        <f>364.6+548.1+389.3+522.2+63+395+556.7+63+391.3+512.8+63+394.6+664.3+89.8+0.3+456.7+632.3+12+89.8+485+19+3.6+623.1+89.8+9.9+419.4+475.8+71.8</f>
        <v>8406.2</v>
      </c>
      <c r="E34" s="107">
        <f>D34/D33*100</f>
        <v>56.63906425813755</v>
      </c>
      <c r="F34" s="107">
        <f t="shared" si="3"/>
        <v>85.89414092258986</v>
      </c>
      <c r="G34" s="107">
        <f t="shared" si="0"/>
        <v>65.13101823873058</v>
      </c>
      <c r="H34" s="105">
        <f t="shared" si="2"/>
        <v>1380.4977999999992</v>
      </c>
      <c r="I34" s="105">
        <f t="shared" si="1"/>
        <v>4500.4</v>
      </c>
      <c r="J34" s="168"/>
      <c r="K34" s="154"/>
    </row>
    <row r="35" spans="1:11" s="94" customFormat="1" ht="18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0.4015712485766455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68"/>
      <c r="K35" s="154"/>
    </row>
    <row r="36" spans="1:11" s="94" customFormat="1" ht="18">
      <c r="A36" s="103" t="s">
        <v>0</v>
      </c>
      <c r="B36" s="127">
        <v>1073.221</v>
      </c>
      <c r="C36" s="128">
        <v>1783</v>
      </c>
      <c r="D36" s="105">
        <f>0.3+11.3+141.7+12.6+0.9+12.9+1.3+0.5+169.4+1.1+0.1+0.4+11.3+166.1+3.8+5.1+2.9+0.2+0.5+11.9+319.9+44.3+12.2+0.9-0.2+8.4+29.5+8.6+0.2+7.6+0.4+4.3+0.1+0.3+7.8+4.8+0.2+5.5</f>
        <v>1009.0999999999998</v>
      </c>
      <c r="E36" s="107">
        <f>D36/D33*100</f>
        <v>6.79908635803176</v>
      </c>
      <c r="F36" s="107">
        <f t="shared" si="3"/>
        <v>94.02536849353487</v>
      </c>
      <c r="G36" s="107">
        <f t="shared" si="0"/>
        <v>56.5956253505328</v>
      </c>
      <c r="H36" s="105">
        <f t="shared" si="2"/>
        <v>64.12100000000021</v>
      </c>
      <c r="I36" s="105">
        <f t="shared" si="1"/>
        <v>773.9000000000002</v>
      </c>
      <c r="J36" s="168"/>
      <c r="K36" s="154"/>
    </row>
    <row r="37" spans="1:12" s="95" customFormat="1" ht="18.75">
      <c r="A37" s="118" t="s">
        <v>7</v>
      </c>
      <c r="B37" s="138">
        <v>718.973</v>
      </c>
      <c r="C37" s="139">
        <v>1008</v>
      </c>
      <c r="D37" s="109">
        <f>44.8+25.1+1.6+0.5+2.7+1+6.3+8.5+2.5+36.6+1.5+4.5+23.6+4.1+106.1+32.6+9.7+2.5+4.3+1.9+2.2+5.9+0.2+124.8+6.7</f>
        <v>460.19999999999993</v>
      </c>
      <c r="E37" s="113">
        <f>D37/D33*100</f>
        <v>3.1007229630028896</v>
      </c>
      <c r="F37" s="113">
        <f t="shared" si="3"/>
        <v>64.00796691948098</v>
      </c>
      <c r="G37" s="113">
        <f t="shared" si="0"/>
        <v>45.6547619047619</v>
      </c>
      <c r="H37" s="109">
        <f t="shared" si="2"/>
        <v>258.773</v>
      </c>
      <c r="I37" s="109">
        <f t="shared" si="1"/>
        <v>547.8000000000001</v>
      </c>
      <c r="J37" s="170"/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0.23043182384767247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8"/>
      <c r="K38" s="154"/>
    </row>
    <row r="39" spans="1:11" s="94" customFormat="1" ht="18.75" thickBot="1">
      <c r="A39" s="103" t="s">
        <v>27</v>
      </c>
      <c r="B39" s="127">
        <f>B33-B34-B36-B37-B35-B38</f>
        <v>6319.491000000002</v>
      </c>
      <c r="C39" s="127">
        <f>C33-C34-C36-C37-C35-C38</f>
        <v>8919.699999999997</v>
      </c>
      <c r="D39" s="127">
        <f>D33-D34-D36-D37-D35-D38</f>
        <v>4872.400000000001</v>
      </c>
      <c r="E39" s="107">
        <f>D39/D33*100</f>
        <v>32.829123348403485</v>
      </c>
      <c r="F39" s="107">
        <f t="shared" si="3"/>
        <v>77.10114627902784</v>
      </c>
      <c r="G39" s="107">
        <f t="shared" si="0"/>
        <v>54.625155554559036</v>
      </c>
      <c r="H39" s="105">
        <f>B39-D39</f>
        <v>1447.0910000000013</v>
      </c>
      <c r="I39" s="105">
        <f t="shared" si="1"/>
        <v>4047.2999999999965</v>
      </c>
      <c r="J39" s="168"/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9.5" thickBot="1">
      <c r="A43" s="12" t="s">
        <v>16</v>
      </c>
      <c r="B43" s="77">
        <v>1430.178</v>
      </c>
      <c r="C43" s="40">
        <f>1126.9+467</f>
        <v>1593.9</v>
      </c>
      <c r="D43" s="41">
        <f>63.9+1.1+0.6+70.8+0.5+48+6.7+2+13.7+10.4+20.2+0.7+37.4+27+181.7+0.2+2.1+7.5+10+0.2+3.3+24.2+12.6+1.5</f>
        <v>546.3</v>
      </c>
      <c r="E43" s="3">
        <f>D43/D154*100</f>
        <v>0.04280444573884211</v>
      </c>
      <c r="F43" s="3">
        <f>D43/B43*100</f>
        <v>38.19804248142538</v>
      </c>
      <c r="G43" s="3">
        <f t="shared" si="0"/>
        <v>34.27442123094296</v>
      </c>
      <c r="H43" s="41">
        <f t="shared" si="2"/>
        <v>883.8780000000002</v>
      </c>
      <c r="I43" s="41">
        <f t="shared" si="1"/>
        <v>1047.6000000000001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.75" thickBot="1">
      <c r="A45" s="20" t="s">
        <v>44</v>
      </c>
      <c r="B45" s="39">
        <v>10114.031</v>
      </c>
      <c r="C45" s="40">
        <v>13576.3</v>
      </c>
      <c r="D45" s="41">
        <f>237.1+562.8+52.3+349.2+679.9+375.9+891+78.3+327.4+13.5+670.2+386.5+179.9+781.7-0.1+25.5+366.5+16.5+692.2+3.8+389.3+707.6+15.1+379.9+4.5+611.9</f>
        <v>8798.4</v>
      </c>
      <c r="E45" s="3">
        <f>D45/D154*100</f>
        <v>0.6893842859026696</v>
      </c>
      <c r="F45" s="3">
        <f>D45/B45*100</f>
        <v>86.99202128211788</v>
      </c>
      <c r="G45" s="3">
        <f aca="true" t="shared" si="5" ref="G45:G76">D45/C45*100</f>
        <v>64.80705346817615</v>
      </c>
      <c r="H45" s="41">
        <f>B45-D45</f>
        <v>1315.6310000000012</v>
      </c>
      <c r="I45" s="41">
        <f aca="true" t="shared" si="6" ref="I45:I77">C45-D45</f>
        <v>4777.9</v>
      </c>
      <c r="J45" s="168"/>
      <c r="K45" s="154"/>
    </row>
    <row r="46" spans="1:11" s="94" customFormat="1" ht="18">
      <c r="A46" s="103" t="s">
        <v>3</v>
      </c>
      <c r="B46" s="127">
        <v>9220.134</v>
      </c>
      <c r="C46" s="128">
        <v>12256.4</v>
      </c>
      <c r="D46" s="105">
        <f>237.1+551.8+334.1+652.5+314.7+746.1+319.2+661.7+342.8+781.7+0.2-0.1+366.5+692.2+367.7+697.1+14.1+359.1+599.6</f>
        <v>8038.1</v>
      </c>
      <c r="E46" s="107">
        <f>D46/D45*100</f>
        <v>91.35865611929442</v>
      </c>
      <c r="F46" s="107">
        <f aca="true" t="shared" si="7" ref="F46:F74">D46/B46*100</f>
        <v>87.17986094345267</v>
      </c>
      <c r="G46" s="107">
        <f t="shared" si="5"/>
        <v>65.58287914885284</v>
      </c>
      <c r="H46" s="105">
        <f aca="true" t="shared" si="8" ref="H46:H74">B46-D46</f>
        <v>1182.0339999999997</v>
      </c>
      <c r="I46" s="105">
        <f t="shared" si="6"/>
        <v>4218.299999999999</v>
      </c>
      <c r="J46" s="168"/>
      <c r="K46" s="154"/>
    </row>
    <row r="47" spans="1:11" s="94" customFormat="1" ht="18">
      <c r="A47" s="103" t="s">
        <v>2</v>
      </c>
      <c r="B47" s="127">
        <v>0.758</v>
      </c>
      <c r="C47" s="128">
        <v>1.5</v>
      </c>
      <c r="D47" s="105">
        <f>0.7</f>
        <v>0.7</v>
      </c>
      <c r="E47" s="107">
        <f>D47/D45*100</f>
        <v>0.00795599199854519</v>
      </c>
      <c r="F47" s="107">
        <f t="shared" si="7"/>
        <v>92.34828496042215</v>
      </c>
      <c r="G47" s="107">
        <f t="shared" si="5"/>
        <v>46.666666666666664</v>
      </c>
      <c r="H47" s="105">
        <f t="shared" si="8"/>
        <v>0.05800000000000005</v>
      </c>
      <c r="I47" s="105">
        <f t="shared" si="6"/>
        <v>0.8</v>
      </c>
      <c r="J47" s="168"/>
      <c r="K47" s="154"/>
    </row>
    <row r="48" spans="1:11" s="94" customFormat="1" ht="18">
      <c r="A48" s="103" t="s">
        <v>1</v>
      </c>
      <c r="B48" s="127">
        <v>58.56</v>
      </c>
      <c r="C48" s="128">
        <v>98.9</v>
      </c>
      <c r="D48" s="105">
        <f>5.7+6.1+6.5+7.7+8.4+7+0.1</f>
        <v>41.5</v>
      </c>
      <c r="E48" s="107">
        <f>D48/D45*100</f>
        <v>0.47167666848517914</v>
      </c>
      <c r="F48" s="107">
        <f t="shared" si="7"/>
        <v>70.86748633879782</v>
      </c>
      <c r="G48" s="107">
        <f t="shared" si="5"/>
        <v>41.96157735085945</v>
      </c>
      <c r="H48" s="105">
        <f t="shared" si="8"/>
        <v>17.060000000000002</v>
      </c>
      <c r="I48" s="105">
        <f t="shared" si="6"/>
        <v>57.400000000000006</v>
      </c>
      <c r="J48" s="168"/>
      <c r="K48" s="154"/>
    </row>
    <row r="49" spans="1:11" s="94" customFormat="1" ht="18">
      <c r="A49" s="103" t="s">
        <v>0</v>
      </c>
      <c r="B49" s="127">
        <v>582.127</v>
      </c>
      <c r="C49" s="128">
        <v>879.8</v>
      </c>
      <c r="D49" s="105">
        <f>7.3+51.9+12.7-0.1+54.5+131.2+49.5+2.4+7.9+11.2+178.3+0.4+4.1+0.1+0.6+1.4+0.5+0.8+4.5+4.5</f>
        <v>523.6999999999999</v>
      </c>
      <c r="E49" s="107">
        <f>D49/D45*100</f>
        <v>5.952218585197308</v>
      </c>
      <c r="F49" s="107">
        <f t="shared" si="7"/>
        <v>89.9631867272949</v>
      </c>
      <c r="G49" s="107">
        <f t="shared" si="5"/>
        <v>59.524892020913846</v>
      </c>
      <c r="H49" s="105">
        <f t="shared" si="8"/>
        <v>58.42700000000002</v>
      </c>
      <c r="I49" s="105">
        <f t="shared" si="6"/>
        <v>356.1</v>
      </c>
      <c r="J49" s="168"/>
      <c r="K49" s="154"/>
    </row>
    <row r="50" spans="1:11" s="94" customFormat="1" ht="18.75" thickBot="1">
      <c r="A50" s="103" t="s">
        <v>27</v>
      </c>
      <c r="B50" s="128">
        <f>B45-B46-B49-B48-B47</f>
        <v>252.45200000000088</v>
      </c>
      <c r="C50" s="128">
        <f>C45-C46-C49-C48-C47</f>
        <v>339.6999999999997</v>
      </c>
      <c r="D50" s="128">
        <f>D45-D46-D49-D48-D47</f>
        <v>194.39999999999935</v>
      </c>
      <c r="E50" s="107">
        <f>D50/D45*100</f>
        <v>2.2094926350245427</v>
      </c>
      <c r="F50" s="107">
        <f t="shared" si="7"/>
        <v>77.00473753426341</v>
      </c>
      <c r="G50" s="107">
        <f t="shared" si="5"/>
        <v>57.22696496909023</v>
      </c>
      <c r="H50" s="105">
        <f t="shared" si="8"/>
        <v>58.05200000000153</v>
      </c>
      <c r="I50" s="105">
        <f t="shared" si="6"/>
        <v>145.30000000000035</v>
      </c>
      <c r="J50" s="168"/>
      <c r="K50" s="154"/>
    </row>
    <row r="51" spans="1:11" ht="18.75" thickBot="1">
      <c r="A51" s="20" t="s">
        <v>4</v>
      </c>
      <c r="B51" s="39">
        <v>27764.408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</f>
        <v>20254.2</v>
      </c>
      <c r="E51" s="3">
        <f>D51/D154*100</f>
        <v>1.5869848158221782</v>
      </c>
      <c r="F51" s="3">
        <f>D51/B51*100</f>
        <v>72.9502318219787</v>
      </c>
      <c r="G51" s="3">
        <f t="shared" si="5"/>
        <v>54.50626221090761</v>
      </c>
      <c r="H51" s="41">
        <f>B51-D51</f>
        <v>7510.207999999999</v>
      </c>
      <c r="I51" s="41">
        <f t="shared" si="6"/>
        <v>16905.2</v>
      </c>
      <c r="J51" s="168"/>
      <c r="K51" s="154"/>
    </row>
    <row r="52" spans="1:11" s="94" customFormat="1" ht="18">
      <c r="A52" s="103" t="s">
        <v>3</v>
      </c>
      <c r="B52" s="127">
        <v>14936.235</v>
      </c>
      <c r="C52" s="128">
        <v>20097.4</v>
      </c>
      <c r="D52" s="105">
        <f>632.9+34.3+767.3+737.6+710.6+649.6+792.4+1.6+643.1+825.6+650.1+947+1196.1+785.4+658.1+439+623.6+358.8+550.5</f>
        <v>12003.6</v>
      </c>
      <c r="E52" s="107">
        <f>D52/D51*100</f>
        <v>59.26474508990728</v>
      </c>
      <c r="F52" s="107">
        <f t="shared" si="7"/>
        <v>80.36563431145801</v>
      </c>
      <c r="G52" s="107">
        <f t="shared" si="5"/>
        <v>59.72712888234298</v>
      </c>
      <c r="H52" s="105">
        <f t="shared" si="8"/>
        <v>2932.635</v>
      </c>
      <c r="I52" s="105">
        <f t="shared" si="6"/>
        <v>8093.800000000001</v>
      </c>
      <c r="J52" s="168"/>
      <c r="K52" s="154"/>
    </row>
    <row r="53" spans="1:11" s="94" customFormat="1" ht="18">
      <c r="A53" s="103" t="s">
        <v>2</v>
      </c>
      <c r="B53" s="127">
        <v>5.53435</v>
      </c>
      <c r="C53" s="128">
        <f>13.9+1.38435</f>
        <v>15.28435</v>
      </c>
      <c r="D53" s="105"/>
      <c r="E53" s="107">
        <f>D53/D51*100</f>
        <v>0</v>
      </c>
      <c r="F53" s="107">
        <f>D53/B53*100</f>
        <v>0</v>
      </c>
      <c r="G53" s="107">
        <f t="shared" si="5"/>
        <v>0</v>
      </c>
      <c r="H53" s="105">
        <f t="shared" si="8"/>
        <v>5.53435</v>
      </c>
      <c r="I53" s="105">
        <f t="shared" si="6"/>
        <v>15.28435</v>
      </c>
      <c r="J53" s="168"/>
      <c r="K53" s="154"/>
    </row>
    <row r="54" spans="1:11" s="94" customFormat="1" ht="18">
      <c r="A54" s="103" t="s">
        <v>1</v>
      </c>
      <c r="B54" s="127">
        <v>725.37</v>
      </c>
      <c r="C54" s="128">
        <v>993.6</v>
      </c>
      <c r="D54" s="105">
        <f>0.2+4.2+9+4.7+9.6+6.3+43.2+2.7+18.4+3.8+23.8+5.3+12.2+43.2+26.7+3.8+22.4+0.4+59.7+30.3+3.3+19.2+7+2.9+21+4.4-0.4+4.8+2.2+3.6+32.5+6.4+7.8+23.5+0.7+4.2+10.2+2.2+1.8+2+15.6+1.8+2.2+4.1+5.9</f>
        <v>518.8</v>
      </c>
      <c r="E54" s="107">
        <f>D54/D51*100</f>
        <v>2.561444046173139</v>
      </c>
      <c r="F54" s="107">
        <f t="shared" si="7"/>
        <v>71.5221197457849</v>
      </c>
      <c r="G54" s="107">
        <f t="shared" si="5"/>
        <v>52.21417069243156</v>
      </c>
      <c r="H54" s="105">
        <f t="shared" si="8"/>
        <v>206.57000000000005</v>
      </c>
      <c r="I54" s="105">
        <f t="shared" si="6"/>
        <v>474.80000000000007</v>
      </c>
      <c r="J54" s="168"/>
      <c r="K54" s="154"/>
    </row>
    <row r="55" spans="1:11" s="94" customFormat="1" ht="18">
      <c r="A55" s="103" t="s">
        <v>0</v>
      </c>
      <c r="B55" s="127">
        <v>706.155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7">
        <f>D55/D51*100</f>
        <v>2.587611458364192</v>
      </c>
      <c r="F55" s="107">
        <f t="shared" si="7"/>
        <v>74.21883297576314</v>
      </c>
      <c r="G55" s="107">
        <f t="shared" si="5"/>
        <v>42.962537912943695</v>
      </c>
      <c r="H55" s="105">
        <f t="shared" si="8"/>
        <v>182.05499999999984</v>
      </c>
      <c r="I55" s="105">
        <f t="shared" si="6"/>
        <v>695.8</v>
      </c>
      <c r="J55" s="168"/>
      <c r="K55" s="154"/>
    </row>
    <row r="56" spans="1:11" s="94" customFormat="1" ht="18">
      <c r="A56" s="103" t="s">
        <v>14</v>
      </c>
      <c r="B56" s="127">
        <v>990</v>
      </c>
      <c r="C56" s="128">
        <v>1320</v>
      </c>
      <c r="D56" s="128">
        <f>110+110+110+110+110+110+110+110</f>
        <v>880</v>
      </c>
      <c r="E56" s="107">
        <f>D56/D51*100</f>
        <v>4.344777873231231</v>
      </c>
      <c r="F56" s="107">
        <f>D56/B56*100</f>
        <v>88.88888888888889</v>
      </c>
      <c r="G56" s="107">
        <f>D56/C56*100</f>
        <v>66.66666666666666</v>
      </c>
      <c r="H56" s="105">
        <f t="shared" si="8"/>
        <v>110</v>
      </c>
      <c r="I56" s="105">
        <f t="shared" si="6"/>
        <v>440</v>
      </c>
      <c r="J56" s="168"/>
      <c r="K56" s="154"/>
    </row>
    <row r="57" spans="1:11" s="94" customFormat="1" ht="18.75" thickBot="1">
      <c r="A57" s="103" t="s">
        <v>27</v>
      </c>
      <c r="B57" s="128">
        <f>B51-B52-B55-B54-B53-B56</f>
        <v>10401.113649999998</v>
      </c>
      <c r="C57" s="128">
        <f>C51-C52-C55-C54-C53-C56</f>
        <v>13513.21565</v>
      </c>
      <c r="D57" s="128">
        <f>D51-D52-D55-D54-D53-D56</f>
        <v>6327.7</v>
      </c>
      <c r="E57" s="107">
        <f>D57/D51*100</f>
        <v>31.24142153232416</v>
      </c>
      <c r="F57" s="107">
        <f t="shared" si="7"/>
        <v>60.83675472577882</v>
      </c>
      <c r="G57" s="107">
        <f t="shared" si="5"/>
        <v>46.826012134276866</v>
      </c>
      <c r="H57" s="105">
        <f>B57-D57</f>
        <v>4073.4136499999977</v>
      </c>
      <c r="I57" s="105">
        <f>C57-D57</f>
        <v>7185.51565</v>
      </c>
      <c r="J57" s="168"/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70"/>
      <c r="K58" s="154">
        <f>C58-B58</f>
        <v>0</v>
      </c>
    </row>
    <row r="59" spans="1:11" ht="18.75" thickBot="1">
      <c r="A59" s="20" t="s">
        <v>6</v>
      </c>
      <c r="B59" s="39">
        <v>8531.851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87.7+79.1+87.8+43.2+40.5+47.6+13+155.9+18+2.1+84.2+29.6+0.7+0.5+5.7+85.8+109.2+19+38.3+85.7+1.2+4.7+89.8+79.1+0.4+114.1+2.5+187.7+22+17.7+67.3-3+41+50.9+0.1+2.6+120+203+53.7+50+85.8+1.8+136+93.7+2.7+167.9+8.7+0.1+42.3+44.8+283.5+103.6+69.1+2.5+643.4+654+1151+1.2</f>
        <v>5630.5</v>
      </c>
      <c r="E59" s="3">
        <f>D59/D154*100</f>
        <v>0.4411686467738432</v>
      </c>
      <c r="F59" s="3">
        <f>D59/B59*100</f>
        <v>65.99388573476025</v>
      </c>
      <c r="G59" s="3">
        <f t="shared" si="5"/>
        <v>58.67182127003313</v>
      </c>
      <c r="H59" s="41">
        <f>B59-D59</f>
        <v>2901.3510000000006</v>
      </c>
      <c r="I59" s="41">
        <f t="shared" si="6"/>
        <v>3966.1000000000004</v>
      </c>
      <c r="J59" s="168"/>
      <c r="K59" s="154"/>
    </row>
    <row r="60" spans="1:11" s="94" customFormat="1" ht="18">
      <c r="A60" s="103" t="s">
        <v>3</v>
      </c>
      <c r="B60" s="127">
        <v>2353.518</v>
      </c>
      <c r="C60" s="128">
        <v>3119.7</v>
      </c>
      <c r="D60" s="105">
        <f>77.7+79.1+76.9+40.5+47.3+155.9+45+29.2+85.8+95.3+38.3+30.7+89.8+79.1+80.7+178.9+50.9+35.4+119.2+73+83.9+167.9+42.3+43+65+68.5</f>
        <v>1979.3000000000004</v>
      </c>
      <c r="E60" s="107">
        <f>D60/D59*100</f>
        <v>35.153183553858455</v>
      </c>
      <c r="F60" s="107">
        <f t="shared" si="7"/>
        <v>84.0996329749762</v>
      </c>
      <c r="G60" s="107">
        <f t="shared" si="5"/>
        <v>63.44520306439724</v>
      </c>
      <c r="H60" s="105">
        <f t="shared" si="8"/>
        <v>374.2179999999996</v>
      </c>
      <c r="I60" s="105">
        <f t="shared" si="6"/>
        <v>1140.3999999999994</v>
      </c>
      <c r="J60" s="168"/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6.946097149453869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8"/>
      <c r="K61" s="154"/>
    </row>
    <row r="62" spans="1:11" s="94" customFormat="1" ht="18">
      <c r="A62" s="103" t="s">
        <v>0</v>
      </c>
      <c r="B62" s="127">
        <v>248.915</v>
      </c>
      <c r="C62" s="128">
        <v>393.7</v>
      </c>
      <c r="D62" s="105">
        <f>10.9+43.2+13-3+39.2+5.7+50.2+3.5+0.2+29.7+2.5+1.8+22+0.1+0.7+2.1+0.1+0.1+2.2+0.1+0.1+2.1+1.2+0.5</f>
        <v>228.1999999999999</v>
      </c>
      <c r="E62" s="107">
        <f>D62/D59*100</f>
        <v>4.052926027883845</v>
      </c>
      <c r="F62" s="107">
        <f t="shared" si="7"/>
        <v>91.67788200791432</v>
      </c>
      <c r="G62" s="107">
        <f t="shared" si="5"/>
        <v>57.96291592583182</v>
      </c>
      <c r="H62" s="105">
        <f t="shared" si="8"/>
        <v>20.71500000000009</v>
      </c>
      <c r="I62" s="105">
        <f t="shared" si="6"/>
        <v>165.50000000000009</v>
      </c>
      <c r="J62" s="168"/>
      <c r="K62" s="154"/>
    </row>
    <row r="63" spans="1:11" s="94" customFormat="1" ht="18">
      <c r="A63" s="103" t="s">
        <v>14</v>
      </c>
      <c r="B63" s="127">
        <v>4866.6</v>
      </c>
      <c r="C63" s="128">
        <v>4866.6</v>
      </c>
      <c r="D63" s="105">
        <f>136+283.5+578.4+584+1151</f>
        <v>2732.9</v>
      </c>
      <c r="E63" s="107">
        <f>D63/D59*100</f>
        <v>48.53743006837759</v>
      </c>
      <c r="F63" s="107">
        <f t="shared" si="7"/>
        <v>56.156248715735835</v>
      </c>
      <c r="G63" s="107">
        <f t="shared" si="5"/>
        <v>56.156248715735835</v>
      </c>
      <c r="H63" s="105">
        <f t="shared" si="8"/>
        <v>2133.7000000000003</v>
      </c>
      <c r="I63" s="105">
        <f t="shared" si="6"/>
        <v>2133.7000000000003</v>
      </c>
      <c r="J63" s="168"/>
      <c r="K63" s="154"/>
    </row>
    <row r="64" spans="1:11" s="94" customFormat="1" ht="18.75" thickBot="1">
      <c r="A64" s="103" t="s">
        <v>27</v>
      </c>
      <c r="B64" s="128">
        <f>B59-B60-B62-B63-B61</f>
        <v>669.7180000000002</v>
      </c>
      <c r="C64" s="128">
        <f>C59-C60-C62-C63-C61</f>
        <v>823.5000000000005</v>
      </c>
      <c r="D64" s="128">
        <f>D59-D60-D62-D63-D61</f>
        <v>298.9999999999999</v>
      </c>
      <c r="E64" s="107">
        <f>D64/D59*100</f>
        <v>5.310363200426248</v>
      </c>
      <c r="F64" s="107">
        <f t="shared" si="7"/>
        <v>44.64565682869504</v>
      </c>
      <c r="G64" s="107">
        <f t="shared" si="5"/>
        <v>36.30843958712808</v>
      </c>
      <c r="H64" s="105">
        <f t="shared" si="8"/>
        <v>370.7180000000003</v>
      </c>
      <c r="I64" s="105">
        <f t="shared" si="6"/>
        <v>524.5000000000006</v>
      </c>
      <c r="J64" s="168"/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70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70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70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70"/>
      <c r="K68" s="154">
        <f>C68-B68</f>
        <v>0</v>
      </c>
    </row>
    <row r="69" spans="1:11" ht="18.75" thickBot="1">
      <c r="A69" s="20" t="s">
        <v>20</v>
      </c>
      <c r="B69" s="40">
        <f>B70+B71</f>
        <v>384.236</v>
      </c>
      <c r="C69" s="40">
        <f>C70+C71</f>
        <v>438.9</v>
      </c>
      <c r="D69" s="41">
        <f>D70+D71</f>
        <v>227</v>
      </c>
      <c r="E69" s="30">
        <f>D69/D154*100</f>
        <v>0.017786214868601793</v>
      </c>
      <c r="F69" s="3">
        <f>D69/B69*100</f>
        <v>59.07827481027286</v>
      </c>
      <c r="G69" s="3">
        <f t="shared" si="5"/>
        <v>51.720209614946455</v>
      </c>
      <c r="H69" s="41">
        <f>B69-D69</f>
        <v>157.236</v>
      </c>
      <c r="I69" s="41">
        <f t="shared" si="6"/>
        <v>211.89999999999998</v>
      </c>
      <c r="J69" s="168"/>
      <c r="K69" s="154"/>
    </row>
    <row r="70" spans="1:11" s="94" customFormat="1" ht="18">
      <c r="A70" s="103" t="s">
        <v>8</v>
      </c>
      <c r="B70" s="127">
        <v>226.963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100.01630221666088</v>
      </c>
      <c r="G70" s="107">
        <f t="shared" si="5"/>
        <v>99.73637961335677</v>
      </c>
      <c r="H70" s="105">
        <f t="shared" si="8"/>
        <v>-0.03700000000000614</v>
      </c>
      <c r="I70" s="105">
        <f t="shared" si="6"/>
        <v>0.5999999999999943</v>
      </c>
      <c r="J70" s="168"/>
      <c r="K70" s="154"/>
    </row>
    <row r="71" spans="1:11" s="94" customFormat="1" ht="18.75" thickBot="1">
      <c r="A71" s="103" t="s">
        <v>9</v>
      </c>
      <c r="B71" s="127">
        <v>157.273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157.273</v>
      </c>
      <c r="I71" s="105">
        <f t="shared" si="6"/>
        <v>211.3</v>
      </c>
      <c r="J71" s="168"/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8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8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8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8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8"/>
      <c r="K76" s="154"/>
    </row>
    <row r="77" spans="1:11" s="32" customFormat="1" ht="19.5" thickBot="1">
      <c r="A77" s="23" t="s">
        <v>13</v>
      </c>
      <c r="B77" s="47">
        <v>560</v>
      </c>
      <c r="C77" s="54">
        <f>17000-13500-1000</f>
        <v>2500</v>
      </c>
      <c r="D77" s="55"/>
      <c r="E77" s="35"/>
      <c r="F77" s="35"/>
      <c r="G77" s="35"/>
      <c r="H77" s="55">
        <f>B77-D77</f>
        <v>560</v>
      </c>
      <c r="I77" s="55">
        <f t="shared" si="6"/>
        <v>2500</v>
      </c>
      <c r="J77" s="170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8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8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2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2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2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2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8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8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8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8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8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8"/>
      <c r="K89" s="154"/>
    </row>
    <row r="90" spans="1:11" ht="19.5" thickBot="1">
      <c r="A90" s="12" t="s">
        <v>10</v>
      </c>
      <c r="B90" s="46">
        <v>160227.7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</f>
        <v>140331.39999999994</v>
      </c>
      <c r="E90" s="3">
        <f>D90/D154*100</f>
        <v>10.995438031769623</v>
      </c>
      <c r="F90" s="3">
        <f aca="true" t="shared" si="11" ref="F90:F96">D90/B90*100</f>
        <v>87.58248417720526</v>
      </c>
      <c r="G90" s="3">
        <f t="shared" si="9"/>
        <v>69.18374057810463</v>
      </c>
      <c r="H90" s="41">
        <f aca="true" t="shared" si="12" ref="H90:H96">B90-D90</f>
        <v>19896.300000000076</v>
      </c>
      <c r="I90" s="41">
        <f t="shared" si="10"/>
        <v>62507.300000000076</v>
      </c>
      <c r="J90" s="168"/>
      <c r="K90" s="154"/>
    </row>
    <row r="91" spans="1:11" s="94" customFormat="1" ht="21.75" customHeight="1">
      <c r="A91" s="103" t="s">
        <v>3</v>
      </c>
      <c r="B91" s="127">
        <v>150150.2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</f>
        <v>132683.11</v>
      </c>
      <c r="E91" s="107">
        <f>D91/D90*100</f>
        <v>94.54983702863368</v>
      </c>
      <c r="F91" s="107">
        <f t="shared" si="11"/>
        <v>88.3669219221819</v>
      </c>
      <c r="G91" s="107">
        <f t="shared" si="9"/>
        <v>69.85038427866218</v>
      </c>
      <c r="H91" s="105">
        <f t="shared" si="12"/>
        <v>17467.090000000026</v>
      </c>
      <c r="I91" s="105">
        <f t="shared" si="10"/>
        <v>57270.19</v>
      </c>
      <c r="K91" s="154"/>
    </row>
    <row r="92" spans="1:11" s="94" customFormat="1" ht="18">
      <c r="A92" s="103" t="s">
        <v>25</v>
      </c>
      <c r="B92" s="127">
        <v>1831.275</v>
      </c>
      <c r="C92" s="128">
        <v>2776.4</v>
      </c>
      <c r="D92" s="105">
        <f>57.2+3.4+167+1.4+0.3+83.4+86.9+53.1+5.3+4.7+17+71.3+284.2+22.2+4.8+1.6+54.8+7+38.2+1.9+190+51.9+21+0.9+36.9+5.5+20.1+0.9+46.6+43.3-17.3+22+2.1+65.9+0.7+4.5</f>
        <v>1460.7000000000003</v>
      </c>
      <c r="E92" s="107">
        <f>D92/D90*100</f>
        <v>1.0408931999538242</v>
      </c>
      <c r="F92" s="107">
        <f t="shared" si="11"/>
        <v>79.76409878363437</v>
      </c>
      <c r="G92" s="107">
        <f t="shared" si="9"/>
        <v>52.61129520242041</v>
      </c>
      <c r="H92" s="105">
        <f t="shared" si="12"/>
        <v>370.5749999999998</v>
      </c>
      <c r="I92" s="105">
        <f t="shared" si="10"/>
        <v>1315.6999999999998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8246.225</v>
      </c>
      <c r="C94" s="128">
        <f>C90-C91-C92-C93</f>
        <v>10109.000000000024</v>
      </c>
      <c r="D94" s="128">
        <f>D90-D91-D92-D93</f>
        <v>6187.589999999949</v>
      </c>
      <c r="E94" s="107">
        <f>D94/D90*100</f>
        <v>4.409269771412493</v>
      </c>
      <c r="F94" s="107">
        <f t="shared" si="11"/>
        <v>75.03542530066726</v>
      </c>
      <c r="G94" s="107">
        <f>D94/C94*100</f>
        <v>61.20872489860456</v>
      </c>
      <c r="H94" s="105">
        <f t="shared" si="12"/>
        <v>2058.635000000051</v>
      </c>
      <c r="I94" s="105">
        <f>C94-D94</f>
        <v>3921.4100000000744</v>
      </c>
      <c r="K94" s="154"/>
    </row>
    <row r="95" spans="1:11" ht="18.75">
      <c r="A95" s="83" t="s">
        <v>12</v>
      </c>
      <c r="B95" s="92">
        <v>36331.62579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</f>
        <v>26648.699999999997</v>
      </c>
      <c r="E95" s="82">
        <f>D95/D154*100</f>
        <v>2.0880154368674386</v>
      </c>
      <c r="F95" s="84">
        <f t="shared" si="11"/>
        <v>73.34849300174959</v>
      </c>
      <c r="G95" s="81">
        <f>D95/C95*100</f>
        <v>56.22266527421753</v>
      </c>
      <c r="H95" s="85">
        <f t="shared" si="12"/>
        <v>9682.925790000001</v>
      </c>
      <c r="I95" s="88">
        <f>C95-D95</f>
        <v>20749.800000000003</v>
      </c>
      <c r="J95" s="168"/>
      <c r="K95" s="154"/>
    </row>
    <row r="96" spans="1:11" s="94" customFormat="1" ht="18.75" thickBot="1">
      <c r="A96" s="130" t="s">
        <v>83</v>
      </c>
      <c r="B96" s="131">
        <v>8980.18364</v>
      </c>
      <c r="C96" s="132">
        <v>12814.2</v>
      </c>
      <c r="D96" s="133">
        <f>194.6+1234+3.4+0.5+79.6+1026.4+0.7+86.4+939.3+4.2+87.7+624.7+8+489.4+90.3+1.9+597.9+5.5+67.2+2.1+31.9+0.2+90.5+32.4+530.2+66+90.3+454.6+5.4+212.8+729.6+32.4</f>
        <v>7820.099999999998</v>
      </c>
      <c r="E96" s="134">
        <f>D96/D95*100</f>
        <v>29.34514629231444</v>
      </c>
      <c r="F96" s="135">
        <f t="shared" si="11"/>
        <v>87.08173811911043</v>
      </c>
      <c r="G96" s="136">
        <f>D96/C96*100</f>
        <v>61.02682961090039</v>
      </c>
      <c r="H96" s="137">
        <f t="shared" si="12"/>
        <v>1160.0836400000017</v>
      </c>
      <c r="I96" s="126">
        <f>C96-D96</f>
        <v>4994.100000000003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8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8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8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9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8"/>
      <c r="K101" s="154">
        <f t="shared" si="13"/>
        <v>0</v>
      </c>
    </row>
    <row r="102" spans="1:11" s="32" customFormat="1" ht="19.5" thickBot="1">
      <c r="A102" s="12" t="s">
        <v>11</v>
      </c>
      <c r="B102" s="91">
        <v>10766.55742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</f>
        <v>8647.399999999998</v>
      </c>
      <c r="E102" s="17">
        <f>D102/D154*100</f>
        <v>0.6775529271134234</v>
      </c>
      <c r="F102" s="17">
        <f>D102/B102*100</f>
        <v>80.31722362745731</v>
      </c>
      <c r="G102" s="17">
        <f aca="true" t="shared" si="14" ref="G102:G152">D102/C102*100</f>
        <v>67.0465823098871</v>
      </c>
      <c r="H102" s="66">
        <f aca="true" t="shared" si="15" ref="H102:H108">B102-D102</f>
        <v>2119.1574200000014</v>
      </c>
      <c r="I102" s="66">
        <f aca="true" t="shared" si="16" ref="I102:I152">C102-D102</f>
        <v>4250.200000000003</v>
      </c>
      <c r="J102" s="170"/>
      <c r="K102" s="154"/>
    </row>
    <row r="103" spans="1:11" s="94" customFormat="1" ht="18.75" customHeight="1">
      <c r="A103" s="103" t="s">
        <v>3</v>
      </c>
      <c r="B103" s="119">
        <v>254.625</v>
      </c>
      <c r="C103" s="120">
        <v>363.8</v>
      </c>
      <c r="D103" s="120">
        <f>31.2+4.8+33.9+5.2+30.9+10.3+19.9+19.5</f>
        <v>155.7</v>
      </c>
      <c r="E103" s="121">
        <f>D103/D102*100</f>
        <v>1.800541203136203</v>
      </c>
      <c r="F103" s="107">
        <f>D103/B103*100</f>
        <v>61.14874815905743</v>
      </c>
      <c r="G103" s="121">
        <f>D103/C103*100</f>
        <v>42.79824079164376</v>
      </c>
      <c r="H103" s="120">
        <f t="shared" si="15"/>
        <v>98.92500000000001</v>
      </c>
      <c r="I103" s="120">
        <f t="shared" si="16"/>
        <v>208.10000000000002</v>
      </c>
      <c r="J103" s="168"/>
      <c r="K103" s="154"/>
    </row>
    <row r="104" spans="1:11" s="94" customFormat="1" ht="18">
      <c r="A104" s="122" t="s">
        <v>48</v>
      </c>
      <c r="B104" s="104">
        <v>8759.57164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</f>
        <v>7585.700000000002</v>
      </c>
      <c r="E104" s="107">
        <f>D104/D102*100</f>
        <v>87.72232116011753</v>
      </c>
      <c r="F104" s="107">
        <f aca="true" t="shared" si="17" ref="F104:F152">D104/B104*100</f>
        <v>86.59898350919819</v>
      </c>
      <c r="G104" s="107">
        <f t="shared" si="14"/>
        <v>71.86830885836099</v>
      </c>
      <c r="H104" s="105">
        <f t="shared" si="15"/>
        <v>1173.8716399999985</v>
      </c>
      <c r="I104" s="105">
        <f t="shared" si="16"/>
        <v>2969.2999999999984</v>
      </c>
      <c r="J104" s="168"/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.75" thickBot="1">
      <c r="A106" s="123" t="s">
        <v>27</v>
      </c>
      <c r="B106" s="124">
        <f>B102-B103-B104</f>
        <v>1752.360779999999</v>
      </c>
      <c r="C106" s="124">
        <f>C102-C103-C104</f>
        <v>1978.800000000001</v>
      </c>
      <c r="D106" s="124">
        <f>D102-D103-D104</f>
        <v>905.9999999999955</v>
      </c>
      <c r="E106" s="125">
        <f>D106/D102*100</f>
        <v>10.477137636746257</v>
      </c>
      <c r="F106" s="125">
        <f t="shared" si="17"/>
        <v>51.701682115939384</v>
      </c>
      <c r="G106" s="125">
        <f t="shared" si="14"/>
        <v>45.78532443905372</v>
      </c>
      <c r="H106" s="126">
        <f t="shared" si="15"/>
        <v>846.3607800000036</v>
      </c>
      <c r="I106" s="126">
        <f t="shared" si="16"/>
        <v>1072.8000000000056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417489.57267999987</v>
      </c>
      <c r="C107" s="68">
        <f>SUM(C108:C151)-C115-C120+C152-C142-C143-C109-C112-C123-C124-C140-C133-C131-C138-C118</f>
        <v>565114.1999999998</v>
      </c>
      <c r="D107" s="68">
        <f>SUM(D108:D151)-D115-D120+D152-D142-D143-D109-D112-D123-D124-D140-D133-D131-D138-D118</f>
        <v>274831.79999999993</v>
      </c>
      <c r="E107" s="69">
        <f>D107/D154*100</f>
        <v>21.533997566187637</v>
      </c>
      <c r="F107" s="69">
        <f>D107/B107*100</f>
        <v>65.82962018326978</v>
      </c>
      <c r="G107" s="69">
        <f t="shared" si="14"/>
        <v>48.63296657560543</v>
      </c>
      <c r="H107" s="68">
        <f t="shared" si="15"/>
        <v>142657.77267999994</v>
      </c>
      <c r="I107" s="68">
        <f t="shared" si="16"/>
        <v>290282.3999999999</v>
      </c>
      <c r="J107" s="166"/>
      <c r="K107" s="154"/>
      <c r="L107" s="97"/>
    </row>
    <row r="108" spans="1:12" s="94" customFormat="1" ht="37.5">
      <c r="A108" s="98" t="s">
        <v>52</v>
      </c>
      <c r="B108" s="162">
        <v>2850.821</v>
      </c>
      <c r="C108" s="159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17.1+81.1+17.3+60.5+173.3+3.4+2+0.4+29.3+1.7+177.1+0.8+38.8+139.8+0.3+1.9+1.8+6.5+136+91.3+0.1+1.8+1.1+2.4+3.5+2+3.4+72.2+73.1+42.5+21.2+13.2+0.2+17.6-34.7+31.4+109.2+11.6+31.6+1.8+1.8+136.5+26+0.7+9.8+16+6.4+2.3+33+154.5+0.1-4.6+4.8+5+167.7</f>
        <v>1945.5999999999995</v>
      </c>
      <c r="E108" s="100">
        <f>D108/D107*100</f>
        <v>0.7079239010915039</v>
      </c>
      <c r="F108" s="100">
        <f t="shared" si="17"/>
        <v>68.24700673946205</v>
      </c>
      <c r="G108" s="100">
        <f t="shared" si="14"/>
        <v>43.63310159228526</v>
      </c>
      <c r="H108" s="101">
        <f t="shared" si="15"/>
        <v>905.2210000000005</v>
      </c>
      <c r="I108" s="101">
        <f t="shared" si="16"/>
        <v>2513.4000000000005</v>
      </c>
      <c r="K108" s="154"/>
      <c r="L108" s="102"/>
    </row>
    <row r="109" spans="1:12" s="94" customFormat="1" ht="18.75">
      <c r="A109" s="103" t="s">
        <v>25</v>
      </c>
      <c r="B109" s="104">
        <v>1232.161</v>
      </c>
      <c r="C109" s="105">
        <v>1995</v>
      </c>
      <c r="D109" s="106">
        <f>47.8+0.9+59.7+88.3+0.1+59.2+38.8+107.4+24+91.1+38+42.5+2+31.4+47.6+36.5-21.6+46.3</f>
        <v>740</v>
      </c>
      <c r="E109" s="107">
        <f>D109/D108*100</f>
        <v>38.03453947368422</v>
      </c>
      <c r="F109" s="107">
        <f t="shared" si="17"/>
        <v>60.05708669565097</v>
      </c>
      <c r="G109" s="107">
        <f t="shared" si="14"/>
        <v>37.092731829573935</v>
      </c>
      <c r="H109" s="105">
        <f aca="true" t="shared" si="18" ref="H109:H152">B109-D109</f>
        <v>492.16100000000006</v>
      </c>
      <c r="I109" s="105">
        <f t="shared" si="16"/>
        <v>1255</v>
      </c>
      <c r="K109" s="154"/>
      <c r="L109" s="102"/>
    </row>
    <row r="110" spans="1:12" s="94" customFormat="1" ht="34.5" customHeight="1" hidden="1">
      <c r="A110" s="108" t="s">
        <v>78</v>
      </c>
      <c r="B110" s="16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3">
        <v>155.434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155.434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0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3">
        <v>64.296</v>
      </c>
      <c r="C113" s="101">
        <v>64.3</v>
      </c>
      <c r="D113" s="99">
        <f>6.8+7+3.6</f>
        <v>17.400000000000002</v>
      </c>
      <c r="E113" s="100">
        <f>D113/D107*100</f>
        <v>0.006331145085830682</v>
      </c>
      <c r="F113" s="100">
        <f t="shared" si="17"/>
        <v>27.062336692795817</v>
      </c>
      <c r="G113" s="100">
        <f t="shared" si="14"/>
        <v>27.06065318818041</v>
      </c>
      <c r="H113" s="101">
        <f t="shared" si="18"/>
        <v>46.896</v>
      </c>
      <c r="I113" s="101">
        <f t="shared" si="16"/>
        <v>46.89999999999999</v>
      </c>
      <c r="K113" s="154"/>
      <c r="L113" s="102"/>
    </row>
    <row r="114" spans="1:12" s="94" customFormat="1" ht="37.5">
      <c r="A114" s="108" t="s">
        <v>38</v>
      </c>
      <c r="B114" s="163">
        <v>2513.331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</f>
        <v>1950.7999999999997</v>
      </c>
      <c r="E114" s="100">
        <f>D114/D107*100</f>
        <v>0.7098159674389937</v>
      </c>
      <c r="F114" s="100">
        <f t="shared" si="17"/>
        <v>77.61810919453107</v>
      </c>
      <c r="G114" s="100">
        <f t="shared" si="14"/>
        <v>58.90985958025063</v>
      </c>
      <c r="H114" s="101">
        <f t="shared" si="18"/>
        <v>562.5310000000004</v>
      </c>
      <c r="I114" s="101">
        <f t="shared" si="16"/>
        <v>1360.7000000000003</v>
      </c>
      <c r="K114" s="154"/>
      <c r="L114" s="102"/>
    </row>
    <row r="115" spans="1:12" s="94" customFormat="1" ht="18.75" hidden="1">
      <c r="A115" s="112" t="s">
        <v>43</v>
      </c>
      <c r="B115" s="160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1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3">
        <v>200</v>
      </c>
      <c r="C117" s="101">
        <v>200</v>
      </c>
      <c r="D117" s="99">
        <f>15+40+1.2+1.8</f>
        <v>58</v>
      </c>
      <c r="E117" s="100">
        <f>D117/D107*100</f>
        <v>0.021103816952768938</v>
      </c>
      <c r="F117" s="100">
        <f>D117/B117*100</f>
        <v>28.999999999999996</v>
      </c>
      <c r="G117" s="100">
        <f t="shared" si="14"/>
        <v>28.999999999999996</v>
      </c>
      <c r="H117" s="101">
        <f t="shared" si="18"/>
        <v>142</v>
      </c>
      <c r="I117" s="101">
        <f t="shared" si="16"/>
        <v>142</v>
      </c>
      <c r="K117" s="154"/>
      <c r="L117" s="102"/>
    </row>
    <row r="118" spans="1:12" s="94" customFormat="1" ht="18.75">
      <c r="A118" s="112" t="s">
        <v>88</v>
      </c>
      <c r="B118" s="173">
        <v>40</v>
      </c>
      <c r="C118" s="174">
        <v>40</v>
      </c>
      <c r="D118" s="106">
        <v>40</v>
      </c>
      <c r="E118" s="107">
        <f>D118/D117*100</f>
        <v>68.96551724137932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3">
        <v>335.611</v>
      </c>
      <c r="C119" s="109">
        <v>491.6</v>
      </c>
      <c r="D119" s="99">
        <f>45.4+9.9+47+6.4+0.4+0.4+45.4+0.4+2.9+45.4+4+6.8+0.4+45.4+0.1+5.8+0.8+0.4+0.8+0.7+13+0.4+5</f>
        <v>287.20000000000005</v>
      </c>
      <c r="E119" s="100">
        <f>D119/D107*100</f>
        <v>0.10450027980750413</v>
      </c>
      <c r="F119" s="100">
        <f t="shared" si="17"/>
        <v>85.57526421958758</v>
      </c>
      <c r="G119" s="100">
        <f t="shared" si="14"/>
        <v>58.421480878763234</v>
      </c>
      <c r="H119" s="101">
        <f t="shared" si="18"/>
        <v>48.410999999999945</v>
      </c>
      <c r="I119" s="101">
        <f t="shared" si="16"/>
        <v>204.39999999999998</v>
      </c>
      <c r="K119" s="154"/>
      <c r="L119" s="102"/>
    </row>
    <row r="120" spans="1:12" s="115" customFormat="1" ht="18.75">
      <c r="A120" s="112" t="s">
        <v>43</v>
      </c>
      <c r="B120" s="104">
        <v>272.525</v>
      </c>
      <c r="C120" s="105">
        <v>408.8</v>
      </c>
      <c r="D120" s="106">
        <f>45.4+45.4+45.4+45.4+45.4+0.1</f>
        <v>227.1</v>
      </c>
      <c r="E120" s="107">
        <f>D120/D119*100</f>
        <v>79.07381615598884</v>
      </c>
      <c r="F120" s="107">
        <f t="shared" si="17"/>
        <v>83.3318044216127</v>
      </c>
      <c r="G120" s="107">
        <f t="shared" si="14"/>
        <v>55.55283757338552</v>
      </c>
      <c r="H120" s="105">
        <f t="shared" si="18"/>
        <v>45.42499999999998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3">
        <v>245</v>
      </c>
      <c r="C121" s="109">
        <v>317</v>
      </c>
      <c r="D121" s="99">
        <v>3.6</v>
      </c>
      <c r="E121" s="100">
        <f>D121/D107*100</f>
        <v>0.0013098920867235892</v>
      </c>
      <c r="F121" s="100">
        <f t="shared" si="17"/>
        <v>1.469387755102041</v>
      </c>
      <c r="G121" s="100">
        <f t="shared" si="14"/>
        <v>1.135646687697161</v>
      </c>
      <c r="H121" s="101">
        <f t="shared" si="18"/>
        <v>241.4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3">
        <v>559.999</v>
      </c>
      <c r="C122" s="109">
        <f>480+80</f>
        <v>560</v>
      </c>
      <c r="D122" s="110">
        <f>12+360.2+19.8</f>
        <v>392</v>
      </c>
      <c r="E122" s="113">
        <f>D122/D107*100</f>
        <v>0.14263269388767968</v>
      </c>
      <c r="F122" s="100">
        <f t="shared" si="17"/>
        <v>70.0001250002232</v>
      </c>
      <c r="G122" s="100">
        <f t="shared" si="14"/>
        <v>70</v>
      </c>
      <c r="H122" s="101">
        <f t="shared" si="18"/>
        <v>167.99900000000002</v>
      </c>
      <c r="I122" s="101">
        <f t="shared" si="16"/>
        <v>168</v>
      </c>
      <c r="J122" s="166"/>
      <c r="K122" s="154">
        <f>H108+H111+H113+H114+H117+H119+H121+H126+H127+H128+H130+H132+H136+H137+H139+H69</f>
        <v>4320.094</v>
      </c>
      <c r="L122" s="102"/>
    </row>
    <row r="123" spans="1:12" s="117" customFormat="1" ht="18.75" hidden="1">
      <c r="A123" s="103" t="s">
        <v>80</v>
      </c>
      <c r="B123" s="160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0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3">
        <f>34989.8+800</f>
        <v>35789.8</v>
      </c>
      <c r="C125" s="109">
        <v>45511.3</v>
      </c>
      <c r="D125" s="110">
        <f>3529.6+2264.3+1265.3+2996.5+533.1+738.7+2380.2+1722.3+1049.4+1874.1+1476.2+1455.5+94.4+1416+1268.6+1913.6+457.2+1108.2+2510.4+39.4+1337.2+1221+3120.4</f>
        <v>35771.600000000006</v>
      </c>
      <c r="E125" s="113">
        <f>D125/D107*100</f>
        <v>13.015815491511539</v>
      </c>
      <c r="F125" s="100">
        <f t="shared" si="17"/>
        <v>99.94914752247848</v>
      </c>
      <c r="G125" s="100">
        <f t="shared" si="14"/>
        <v>78.59938081311675</v>
      </c>
      <c r="H125" s="101">
        <f t="shared" si="18"/>
        <v>18.19999999999709</v>
      </c>
      <c r="I125" s="101">
        <f t="shared" si="16"/>
        <v>9739.699999999997</v>
      </c>
      <c r="K125" s="154"/>
      <c r="L125" s="102"/>
    </row>
    <row r="126" spans="1:12" s="114" customFormat="1" ht="18.75">
      <c r="A126" s="108" t="s">
        <v>91</v>
      </c>
      <c r="B126" s="163">
        <v>675</v>
      </c>
      <c r="C126" s="109">
        <v>700</v>
      </c>
      <c r="D126" s="110">
        <f>9.6+1.5</f>
        <v>11.1</v>
      </c>
      <c r="E126" s="113">
        <f>D126/D107*100</f>
        <v>0.0040388339340644</v>
      </c>
      <c r="F126" s="100">
        <f t="shared" si="17"/>
        <v>1.6444444444444446</v>
      </c>
      <c r="G126" s="100">
        <f t="shared" si="14"/>
        <v>1.5857142857142859</v>
      </c>
      <c r="H126" s="101">
        <f t="shared" si="18"/>
        <v>663.9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3">
        <v>172</v>
      </c>
      <c r="C127" s="109">
        <v>200</v>
      </c>
      <c r="D127" s="110">
        <f>63.1+15.9</f>
        <v>79</v>
      </c>
      <c r="E127" s="113">
        <f>D127/D107*100</f>
        <v>0.028744854125323207</v>
      </c>
      <c r="F127" s="100">
        <f t="shared" si="17"/>
        <v>45.93023255813954</v>
      </c>
      <c r="G127" s="100">
        <f t="shared" si="14"/>
        <v>39.5</v>
      </c>
      <c r="H127" s="101">
        <f t="shared" si="18"/>
        <v>93</v>
      </c>
      <c r="I127" s="101">
        <f t="shared" si="16"/>
        <v>121</v>
      </c>
      <c r="K127" s="154"/>
      <c r="L127" s="102"/>
    </row>
    <row r="128" spans="1:12" s="114" customFormat="1" ht="37.5">
      <c r="A128" s="108" t="s">
        <v>85</v>
      </c>
      <c r="B128" s="163">
        <v>111.1</v>
      </c>
      <c r="C128" s="109">
        <f>111.1</f>
        <v>111.1</v>
      </c>
      <c r="D128" s="110">
        <v>34.5</v>
      </c>
      <c r="E128" s="113">
        <f>D128/D107*100</f>
        <v>0.01255313249776773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8.75" hidden="1">
      <c r="A129" s="112" t="s">
        <v>83</v>
      </c>
      <c r="B129" s="161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3">
        <v>776.865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</f>
        <v>288.1</v>
      </c>
      <c r="E130" s="113">
        <f>D130/D107*100</f>
        <v>0.10482775282918502</v>
      </c>
      <c r="F130" s="100">
        <f t="shared" si="17"/>
        <v>37.08495040965934</v>
      </c>
      <c r="G130" s="100">
        <f t="shared" si="14"/>
        <v>30.58386411889597</v>
      </c>
      <c r="H130" s="101">
        <f t="shared" si="18"/>
        <v>488.765</v>
      </c>
      <c r="I130" s="101">
        <f t="shared" si="16"/>
        <v>653.9</v>
      </c>
      <c r="K130" s="154"/>
      <c r="L130" s="102"/>
    </row>
    <row r="131" spans="1:12" s="115" customFormat="1" ht="18.75">
      <c r="A131" s="103" t="s">
        <v>88</v>
      </c>
      <c r="B131" s="104">
        <v>418.65</v>
      </c>
      <c r="C131" s="105">
        <v>510.8</v>
      </c>
      <c r="D131" s="106">
        <f>7+7.1+7+7.1+7+7+7.4+7.4</f>
        <v>57</v>
      </c>
      <c r="E131" s="107">
        <f>D131/D130*100</f>
        <v>19.784796945505033</v>
      </c>
      <c r="F131" s="107">
        <f>D131/B131*100</f>
        <v>13.61519168756718</v>
      </c>
      <c r="G131" s="107">
        <f t="shared" si="14"/>
        <v>11.15896632732968</v>
      </c>
      <c r="H131" s="105">
        <f t="shared" si="18"/>
        <v>361.65</v>
      </c>
      <c r="I131" s="105">
        <f t="shared" si="16"/>
        <v>453.8</v>
      </c>
      <c r="K131" s="154"/>
      <c r="L131" s="102"/>
    </row>
    <row r="132" spans="1:12" s="114" customFormat="1" ht="37.5">
      <c r="A132" s="108" t="s">
        <v>103</v>
      </c>
      <c r="B132" s="163">
        <v>350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350</v>
      </c>
      <c r="I132" s="101">
        <f t="shared" si="16"/>
        <v>485</v>
      </c>
      <c r="K132" s="154"/>
      <c r="L132" s="102">
        <f>H140+H109</f>
        <v>556.461</v>
      </c>
    </row>
    <row r="133" spans="1:12" s="115" customFormat="1" ht="18.75" hidden="1">
      <c r="A133" s="112" t="s">
        <v>43</v>
      </c>
      <c r="B133" s="160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1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1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3">
        <v>280</v>
      </c>
      <c r="C136" s="109">
        <v>383.2</v>
      </c>
      <c r="D136" s="110">
        <f>2.9+1.5+9.7+8.2+0.2-0.4+16+13.6+102.3+20.9</f>
        <v>174.9</v>
      </c>
      <c r="E136" s="113">
        <f>D136/D107*100</f>
        <v>0.06363892387998771</v>
      </c>
      <c r="F136" s="100">
        <f t="shared" si="17"/>
        <v>62.464285714285715</v>
      </c>
      <c r="G136" s="100">
        <f t="shared" si="14"/>
        <v>45.6419624217119</v>
      </c>
      <c r="H136" s="101">
        <f t="shared" si="18"/>
        <v>105.1</v>
      </c>
      <c r="I136" s="101">
        <f t="shared" si="16"/>
        <v>208.29999999999998</v>
      </c>
      <c r="K136" s="154"/>
      <c r="L136" s="102"/>
    </row>
    <row r="137" spans="1:12" s="114" customFormat="1" ht="39" customHeight="1">
      <c r="A137" s="108" t="s">
        <v>54</v>
      </c>
      <c r="B137" s="163">
        <v>240</v>
      </c>
      <c r="C137" s="109">
        <v>350</v>
      </c>
      <c r="D137" s="110">
        <f>3.7+1.9+30+0.6+12.1+11.2</f>
        <v>59.5</v>
      </c>
      <c r="E137" s="113">
        <f>D137/D107*100</f>
        <v>0.021649605322237097</v>
      </c>
      <c r="F137" s="100">
        <f t="shared" si="17"/>
        <v>24.791666666666668</v>
      </c>
      <c r="G137" s="100">
        <f t="shared" si="14"/>
        <v>17</v>
      </c>
      <c r="H137" s="101">
        <f t="shared" si="18"/>
        <v>180.5</v>
      </c>
      <c r="I137" s="101">
        <f t="shared" si="16"/>
        <v>290.5</v>
      </c>
      <c r="K137" s="154"/>
      <c r="L137" s="102"/>
    </row>
    <row r="138" spans="1:12" s="115" customFormat="1" ht="18.75">
      <c r="A138" s="103" t="s">
        <v>88</v>
      </c>
      <c r="B138" s="104">
        <v>74</v>
      </c>
      <c r="C138" s="105">
        <v>110</v>
      </c>
      <c r="D138" s="106">
        <f>3.7+1.9+12.1+11.1</f>
        <v>28.799999999999997</v>
      </c>
      <c r="E138" s="107"/>
      <c r="F138" s="100">
        <f>D138/B138*100</f>
        <v>38.91891891891891</v>
      </c>
      <c r="G138" s="107">
        <f>D138/C138*100</f>
        <v>26.18181818181818</v>
      </c>
      <c r="H138" s="105">
        <f>B138-D138</f>
        <v>45.2</v>
      </c>
      <c r="I138" s="105">
        <f>C138-D138</f>
        <v>81.2</v>
      </c>
      <c r="K138" s="154"/>
      <c r="L138" s="102"/>
    </row>
    <row r="139" spans="1:12" s="114" customFormat="1" ht="32.25" customHeight="1">
      <c r="A139" s="108" t="s">
        <v>84</v>
      </c>
      <c r="B139" s="163">
        <v>455.3</v>
      </c>
      <c r="C139" s="109">
        <v>607.7</v>
      </c>
      <c r="D139" s="110">
        <f>76+0.3+41+44+1.8+16.3+2.4+30+0.6+0.2+27.4+0.2+4.5-0.2+31.4+4.5+7.9+26.6+4.5+0.5+26.6+0.3+4.3+1.1</f>
        <v>352.2000000000001</v>
      </c>
      <c r="E139" s="113">
        <f>D139/D107*100</f>
        <v>0.12815110915112451</v>
      </c>
      <c r="F139" s="100">
        <f>D139/B139*100</f>
        <v>77.35558972106305</v>
      </c>
      <c r="G139" s="100">
        <f>D139/C139*100</f>
        <v>57.95622840217214</v>
      </c>
      <c r="H139" s="101">
        <f t="shared" si="18"/>
        <v>103.09999999999991</v>
      </c>
      <c r="I139" s="101">
        <f t="shared" si="16"/>
        <v>255.49999999999994</v>
      </c>
      <c r="K139" s="154"/>
      <c r="L139" s="102"/>
    </row>
    <row r="140" spans="1:12" s="115" customFormat="1" ht="18.75">
      <c r="A140" s="103" t="s">
        <v>25</v>
      </c>
      <c r="B140" s="104">
        <v>365.2</v>
      </c>
      <c r="C140" s="105">
        <v>489.6</v>
      </c>
      <c r="D140" s="106">
        <f>76+37.6+44+1.2+0.7+30+27.4+30.6+0.6+26+0.5+26+0.3</f>
        <v>300.9</v>
      </c>
      <c r="E140" s="107">
        <f>D140/D139*100</f>
        <v>85.43441226575807</v>
      </c>
      <c r="F140" s="107">
        <f t="shared" si="17"/>
        <v>82.39320920043811</v>
      </c>
      <c r="G140" s="107">
        <f>D140/C140*100</f>
        <v>61.45833333333333</v>
      </c>
      <c r="H140" s="105">
        <f t="shared" si="18"/>
        <v>64.30000000000001</v>
      </c>
      <c r="I140" s="105">
        <f t="shared" si="16"/>
        <v>188.70000000000005</v>
      </c>
      <c r="K140" s="154"/>
      <c r="L140" s="102"/>
    </row>
    <row r="141" spans="1:12" s="114" customFormat="1" ht="18.75">
      <c r="A141" s="108" t="s">
        <v>96</v>
      </c>
      <c r="B141" s="163">
        <v>1374.25878</v>
      </c>
      <c r="C141" s="109">
        <v>1760</v>
      </c>
      <c r="D141" s="110">
        <f>107.3+0.4+30.4+78.2+4.1+36.9+117.9+50.5+112.6+5.2+52.3+10.5+76.8-0.2+10.4+82.9+84+50.5+35.7+3.4+90.4+1.3+74.9+86.3+10.5</f>
        <v>1213.2</v>
      </c>
      <c r="E141" s="113">
        <f>D141/D107*100</f>
        <v>0.44143363322584955</v>
      </c>
      <c r="F141" s="100">
        <f t="shared" si="17"/>
        <v>88.28031646266798</v>
      </c>
      <c r="G141" s="100">
        <f t="shared" si="14"/>
        <v>68.93181818181819</v>
      </c>
      <c r="H141" s="101">
        <f t="shared" si="18"/>
        <v>161.05877999999984</v>
      </c>
      <c r="I141" s="101">
        <f t="shared" si="16"/>
        <v>546.8</v>
      </c>
      <c r="J141" s="166"/>
      <c r="K141" s="154"/>
      <c r="L141" s="102"/>
    </row>
    <row r="142" spans="1:12" s="115" customFormat="1" ht="18.75">
      <c r="A142" s="112" t="s">
        <v>43</v>
      </c>
      <c r="B142" s="104">
        <v>1108.84915</v>
      </c>
      <c r="C142" s="105">
        <v>1437.4</v>
      </c>
      <c r="D142" s="106">
        <f>107.3+25.4+76+34+76.6+47.2+83.8+4.5+35.4+76.8-0.2+60.7+81+50.4+90.4+52.9+85+10.5</f>
        <v>997.6999999999998</v>
      </c>
      <c r="E142" s="107">
        <f>D142/D141*100</f>
        <v>82.23705901747444</v>
      </c>
      <c r="F142" s="107">
        <f aca="true" t="shared" si="19" ref="F142:F151">D142/B142*100</f>
        <v>89.97617033840896</v>
      </c>
      <c r="G142" s="107">
        <f t="shared" si="14"/>
        <v>69.41004591623764</v>
      </c>
      <c r="H142" s="105">
        <f t="shared" si="18"/>
        <v>111.14915000000019</v>
      </c>
      <c r="I142" s="105">
        <f t="shared" si="16"/>
        <v>439.7000000000003</v>
      </c>
      <c r="J142" s="167"/>
      <c r="K142" s="154"/>
      <c r="L142" s="102">
        <f>B108+B111+B114+B117+B119+B126+B127+B128+B130+B136+B71+B132+B137+B121+B113+B139+B70</f>
        <v>9808.993999999999</v>
      </c>
    </row>
    <row r="143" spans="1:13" s="115" customFormat="1" ht="18.75">
      <c r="A143" s="103" t="s">
        <v>25</v>
      </c>
      <c r="B143" s="104">
        <v>28.68</v>
      </c>
      <c r="C143" s="105">
        <v>40</v>
      </c>
      <c r="D143" s="106">
        <f>0.4+4.9+0.7+4.7+3.3+0.4+0.7+0.6+0.1+0.1</f>
        <v>15.899999999999999</v>
      </c>
      <c r="E143" s="107">
        <f>D143/D141*100</f>
        <v>1.310583580613254</v>
      </c>
      <c r="F143" s="107">
        <f t="shared" si="19"/>
        <v>55.43933054393305</v>
      </c>
      <c r="G143" s="107">
        <f>D143/C143*100</f>
        <v>39.75</v>
      </c>
      <c r="H143" s="105">
        <f t="shared" si="18"/>
        <v>12.780000000000001</v>
      </c>
      <c r="I143" s="105">
        <f t="shared" si="16"/>
        <v>24.1</v>
      </c>
      <c r="J143" s="167"/>
      <c r="K143" s="154"/>
      <c r="L143" s="102"/>
      <c r="M143" s="155"/>
    </row>
    <row r="144" spans="1:12" s="114" customFormat="1" ht="33.75" customHeight="1">
      <c r="A144" s="118" t="s">
        <v>56</v>
      </c>
      <c r="B144" s="163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0.19448258898715512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6"/>
      <c r="K144" s="154"/>
      <c r="L144" s="102"/>
    </row>
    <row r="145" spans="1:12" s="114" customFormat="1" ht="18.75" hidden="1">
      <c r="A145" s="118" t="s">
        <v>92</v>
      </c>
      <c r="B145" s="161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6"/>
      <c r="K145" s="154"/>
      <c r="L145" s="102"/>
    </row>
    <row r="146" spans="1:12" s="114" customFormat="1" ht="18.75">
      <c r="A146" s="118" t="s">
        <v>97</v>
      </c>
      <c r="B146" s="163">
        <v>49356.85984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</f>
        <v>41227.700000000004</v>
      </c>
      <c r="E146" s="113">
        <f>D146/D107*100</f>
        <v>15.001066106615033</v>
      </c>
      <c r="F146" s="100">
        <f t="shared" si="19"/>
        <v>83.52982773549155</v>
      </c>
      <c r="G146" s="100">
        <f t="shared" si="14"/>
        <v>62.739413750178805</v>
      </c>
      <c r="H146" s="101">
        <f t="shared" si="18"/>
        <v>8129.159839999993</v>
      </c>
      <c r="I146" s="101">
        <f t="shared" si="16"/>
        <v>24484.9</v>
      </c>
      <c r="J146" s="166"/>
      <c r="K146" s="154"/>
      <c r="L146" s="102"/>
    </row>
    <row r="147" spans="1:12" s="114" customFormat="1" ht="18.75" hidden="1">
      <c r="A147" s="118" t="s">
        <v>86</v>
      </c>
      <c r="B147" s="161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6"/>
      <c r="K147" s="154"/>
      <c r="L147" s="102"/>
    </row>
    <row r="148" spans="1:12" s="114" customFormat="1" ht="37.5" hidden="1">
      <c r="A148" s="118" t="s">
        <v>104</v>
      </c>
      <c r="B148" s="161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6"/>
      <c r="K148" s="154"/>
      <c r="L148" s="102"/>
    </row>
    <row r="149" spans="1:12" s="114" customFormat="1" ht="18.75">
      <c r="A149" s="108" t="s">
        <v>98</v>
      </c>
      <c r="B149" s="163">
        <v>128.19706</v>
      </c>
      <c r="C149" s="109">
        <v>162.3</v>
      </c>
      <c r="D149" s="110">
        <f>46.4+43</f>
        <v>89.4</v>
      </c>
      <c r="E149" s="113">
        <f>D149/D107*100</f>
        <v>0.03252898682030247</v>
      </c>
      <c r="F149" s="100">
        <f t="shared" si="19"/>
        <v>69.73638865041055</v>
      </c>
      <c r="G149" s="100">
        <f t="shared" si="14"/>
        <v>55.08317929759704</v>
      </c>
      <c r="H149" s="101">
        <f t="shared" si="18"/>
        <v>38.79705999999999</v>
      </c>
      <c r="I149" s="101">
        <f t="shared" si="16"/>
        <v>72.9</v>
      </c>
      <c r="J149" s="166"/>
      <c r="K149" s="154"/>
      <c r="L149" s="102"/>
    </row>
    <row r="150" spans="1:12" s="114" customFormat="1" ht="18" customHeight="1">
      <c r="A150" s="108" t="s">
        <v>77</v>
      </c>
      <c r="B150" s="163">
        <v>9577.3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2.427775825068278</v>
      </c>
      <c r="F150" s="100">
        <f t="shared" si="19"/>
        <v>69.66786046171677</v>
      </c>
      <c r="G150" s="100">
        <f t="shared" si="14"/>
        <v>59.45996524528806</v>
      </c>
      <c r="H150" s="101">
        <f t="shared" si="18"/>
        <v>2905</v>
      </c>
      <c r="I150" s="101">
        <f t="shared" si="16"/>
        <v>4549.200000000001</v>
      </c>
      <c r="J150" s="166"/>
      <c r="K150" s="154"/>
      <c r="L150" s="102"/>
    </row>
    <row r="151" spans="1:12" s="114" customFormat="1" ht="19.5" customHeight="1">
      <c r="A151" s="148" t="s">
        <v>50</v>
      </c>
      <c r="B151" s="165">
        <v>278979.8</v>
      </c>
      <c r="C151" s="149">
        <f>350771.5+40351.1-7680.5+12-588.3+1641.8</f>
        <v>384507.6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</f>
        <v>155514.4</v>
      </c>
      <c r="E151" s="151">
        <f>D151/D107*100</f>
        <v>56.58530053654637</v>
      </c>
      <c r="F151" s="152">
        <f t="shared" si="19"/>
        <v>55.74396425834415</v>
      </c>
      <c r="G151" s="152">
        <f t="shared" si="14"/>
        <v>40.44507832875085</v>
      </c>
      <c r="H151" s="153">
        <f t="shared" si="18"/>
        <v>123465.4</v>
      </c>
      <c r="I151" s="153">
        <f>C151-D151</f>
        <v>228993.19999999998</v>
      </c>
      <c r="K151" s="154"/>
      <c r="L151" s="102"/>
    </row>
    <row r="152" spans="1:12" s="114" customFormat="1" ht="18.75">
      <c r="A152" s="108" t="s">
        <v>99</v>
      </c>
      <c r="B152" s="163">
        <v>31674.1</v>
      </c>
      <c r="C152" s="109">
        <v>42232</v>
      </c>
      <c r="D152" s="110">
        <f>819+819+819.1+1062.3+1173.1+1173.1+1173.2+1173.1+1173.1+1173.2+1173.1+1173.1+1173.2+1173.1+1173.1+1173.1+1173.1+1173.1+1173.1+1173.1+1173.1+1173.1+1173.1+1173.1+1173.1</f>
        <v>28154.79999999999</v>
      </c>
      <c r="E152" s="113">
        <f>D152/D107*100</f>
        <v>10.244374923134803</v>
      </c>
      <c r="F152" s="100">
        <f t="shared" si="17"/>
        <v>88.88902920682827</v>
      </c>
      <c r="G152" s="100">
        <f t="shared" si="14"/>
        <v>66.66698238302706</v>
      </c>
      <c r="H152" s="101">
        <f t="shared" si="18"/>
        <v>3519.30000000001</v>
      </c>
      <c r="I152" s="101">
        <f t="shared" si="16"/>
        <v>14077.200000000012</v>
      </c>
      <c r="K152" s="154"/>
      <c r="L152" s="102"/>
    </row>
    <row r="153" spans="1:12" s="2" customFormat="1" ht="19.5" thickBot="1">
      <c r="A153" s="29" t="s">
        <v>29</v>
      </c>
      <c r="B153" s="164"/>
      <c r="C153" s="64"/>
      <c r="D153" s="45">
        <f>D43+D69+D72+D77+D79+D87+D102+D107+D100+D84+D98</f>
        <v>284252.49999999994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1600641.39419</v>
      </c>
      <c r="C154" s="41">
        <f>C6+C18+C33+C43+C51+C59+C69+C72+C77+C79+C87+C90+C95+C102+C107+C100+C84+C98+C45</f>
        <v>2169047.2999999993</v>
      </c>
      <c r="D154" s="41">
        <f>D6+D18+D33+D43+D51+D59+D69+D72+D77+D79+D87+D90+D95+D102+D107+D100+D84+D98+D45</f>
        <v>1276269.2999999998</v>
      </c>
      <c r="E154" s="28">
        <v>100</v>
      </c>
      <c r="F154" s="3">
        <f>D154/B154*100</f>
        <v>79.73486782439812</v>
      </c>
      <c r="G154" s="3">
        <f aca="true" t="shared" si="20" ref="G154:G160">D154/C154*100</f>
        <v>58.840086152109286</v>
      </c>
      <c r="H154" s="41">
        <f aca="true" t="shared" si="21" ref="H154:H160">B154-D154</f>
        <v>324372.0941900001</v>
      </c>
      <c r="I154" s="41">
        <f aca="true" t="shared" si="22" ref="I154:I160">C154-D154</f>
        <v>892777.9999999995</v>
      </c>
      <c r="K154" s="156">
        <f>D154-751574.4-254427.6-132352.6+0.9-133656.1</f>
        <v>4259.499999999796</v>
      </c>
      <c r="L154" s="34"/>
    </row>
    <row r="155" spans="1:12" ht="18.75">
      <c r="A155" s="16" t="s">
        <v>5</v>
      </c>
      <c r="B155" s="52">
        <f>B8+B20+B34+B52+B60+B91+B115+B120+B46+B142+B133+B103</f>
        <v>678897.43495</v>
      </c>
      <c r="C155" s="52">
        <f>C8+C20+C34+C52+C60+C91+C115+C120+C46+C142+C133+C103</f>
        <v>896180.8</v>
      </c>
      <c r="D155" s="52">
        <f>D8+D20+D34+D52+D60+D91+D115+D120+D46+D142+D133+D103</f>
        <v>587655.01</v>
      </c>
      <c r="E155" s="6">
        <f>D155/D154*100</f>
        <v>46.044750116609414</v>
      </c>
      <c r="F155" s="6">
        <f aca="true" t="shared" si="23" ref="F155:F160">D155/B155*100</f>
        <v>86.56020478900176</v>
      </c>
      <c r="G155" s="6">
        <f t="shared" si="20"/>
        <v>65.57326490368908</v>
      </c>
      <c r="H155" s="53">
        <f t="shared" si="21"/>
        <v>91242.42495000002</v>
      </c>
      <c r="I155" s="63">
        <f t="shared" si="22"/>
        <v>308525.79000000004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70312.61764</v>
      </c>
      <c r="C156" s="53">
        <f>C11+C23+C36+C55+C62+C92+C49+C143+C109+C112+C96+C140+C129</f>
        <v>110563.99999999999</v>
      </c>
      <c r="D156" s="53">
        <f>D11+D23+D36+D55+D62+D92+D49+D143+D109+D112+D96+D140+D129</f>
        <v>65210.49999999998</v>
      </c>
      <c r="E156" s="6">
        <f>D156/D154*100</f>
        <v>5.109462399510823</v>
      </c>
      <c r="F156" s="6">
        <f t="shared" si="23"/>
        <v>92.74366705258676</v>
      </c>
      <c r="G156" s="6">
        <f t="shared" si="20"/>
        <v>58.97986686444049</v>
      </c>
      <c r="H156" s="53">
        <f>B156-D156</f>
        <v>5102.117640000019</v>
      </c>
      <c r="I156" s="63">
        <f t="shared" si="22"/>
        <v>45353.50000000001</v>
      </c>
      <c r="K156" s="154"/>
      <c r="L156" s="70"/>
    </row>
    <row r="157" spans="1:12" ht="18.75">
      <c r="A157" s="16" t="s">
        <v>1</v>
      </c>
      <c r="B157" s="52">
        <f>B22+B10+B54+B48+B61+B35+B124</f>
        <v>32382.524999999998</v>
      </c>
      <c r="C157" s="52">
        <f>C22+C10+C54+C48+C61+C35+C124</f>
        <v>45948.3</v>
      </c>
      <c r="D157" s="52">
        <f>D22+D10+D54+D48+D61+D35+D124</f>
        <v>21279.299999999996</v>
      </c>
      <c r="E157" s="6">
        <f>D157/D154*100</f>
        <v>1.6673048548609606</v>
      </c>
      <c r="F157" s="6">
        <f t="shared" si="23"/>
        <v>65.71229389925584</v>
      </c>
      <c r="G157" s="6">
        <f t="shared" si="20"/>
        <v>46.31139781014748</v>
      </c>
      <c r="H157" s="53">
        <f t="shared" si="21"/>
        <v>11103.225000000002</v>
      </c>
      <c r="I157" s="63">
        <f t="shared" si="22"/>
        <v>24669.000000000007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24549.921640000004</v>
      </c>
      <c r="C158" s="52">
        <f>C12+C24+C104+C63+C38+C93+C131+C56+C138+C118</f>
        <v>30229.899999999998</v>
      </c>
      <c r="D158" s="52">
        <f>D12+D24+D104+D63+D38+D93+D131+D56+D138+D118</f>
        <v>19232.500000000004</v>
      </c>
      <c r="E158" s="6">
        <f>D158/D154*100</f>
        <v>1.5069311782395773</v>
      </c>
      <c r="F158" s="6">
        <f t="shared" si="23"/>
        <v>78.3403722505731</v>
      </c>
      <c r="G158" s="6">
        <f t="shared" si="20"/>
        <v>63.62078604295749</v>
      </c>
      <c r="H158" s="53">
        <f>B158-D158</f>
        <v>5317.4216400000005</v>
      </c>
      <c r="I158" s="63">
        <f t="shared" si="22"/>
        <v>10997.399999999994</v>
      </c>
      <c r="K158" s="154"/>
      <c r="L158" s="70"/>
    </row>
    <row r="159" spans="1:12" ht="18.75">
      <c r="A159" s="16" t="s">
        <v>2</v>
      </c>
      <c r="B159" s="52">
        <f>B9+B21+B47+B53+B123</f>
        <v>57.89235000000001</v>
      </c>
      <c r="C159" s="52">
        <f>C9+C21+C47+C53+C123</f>
        <v>114.48435</v>
      </c>
      <c r="D159" s="52">
        <f>D9+D21+D47+D53+D123</f>
        <v>22</v>
      </c>
      <c r="E159" s="6">
        <f>D159/D154*100</f>
        <v>0.001723774128234535</v>
      </c>
      <c r="F159" s="6">
        <f t="shared" si="23"/>
        <v>38.001566700954434</v>
      </c>
      <c r="G159" s="6">
        <f t="shared" si="20"/>
        <v>19.216600347558423</v>
      </c>
      <c r="H159" s="53">
        <f t="shared" si="21"/>
        <v>35.89235000000001</v>
      </c>
      <c r="I159" s="63">
        <f t="shared" si="22"/>
        <v>92.48435</v>
      </c>
      <c r="K159" s="154"/>
      <c r="L159" s="34"/>
    </row>
    <row r="160" spans="1:12" ht="19.5" thickBot="1">
      <c r="A160" s="89" t="s">
        <v>27</v>
      </c>
      <c r="B160" s="65">
        <f>B154-B155-B156-B157-B158-B159</f>
        <v>794441.00261</v>
      </c>
      <c r="C160" s="65">
        <f>C154-C155-C156-C157-C158-C159</f>
        <v>1086009.8156499993</v>
      </c>
      <c r="D160" s="65">
        <f>D154-D155-D156-D157-D158-D159</f>
        <v>582869.9899999998</v>
      </c>
      <c r="E160" s="31">
        <f>D160/D154*100</f>
        <v>45.66982767665099</v>
      </c>
      <c r="F160" s="31">
        <f t="shared" si="23"/>
        <v>73.36856834995677</v>
      </c>
      <c r="G160" s="31">
        <f t="shared" si="20"/>
        <v>53.67078470199094</v>
      </c>
      <c r="H160" s="90">
        <f t="shared" si="21"/>
        <v>211571.0126100002</v>
      </c>
      <c r="I160" s="90">
        <f t="shared" si="22"/>
        <v>503139.82564999955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1276269.2999999998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1276269.2999999998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2018-08-31T13:04:27Z</cp:lastPrinted>
  <dcterms:created xsi:type="dcterms:W3CDTF">2000-06-20T04:48:00Z</dcterms:created>
  <dcterms:modified xsi:type="dcterms:W3CDTF">2018-09-06T14:24:33Z</dcterms:modified>
  <cp:category/>
  <cp:version/>
  <cp:contentType/>
  <cp:contentStatus/>
</cp:coreProperties>
</file>